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45" windowWidth="11355" windowHeight="8700" tabRatio="59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country'!$A$1:$T$31</definedName>
    <definedName name="_xlnm.Print_Area" localSheetId="3">'EU - variety'!$A$1:$N$44</definedName>
    <definedName name="_xlnm.Print_Area" localSheetId="1">'US'!$A$1:$R$40</definedName>
  </definedNames>
  <calcPr fullCalcOnLoad="1"/>
</workbook>
</file>

<file path=xl/sharedStrings.xml><?xml version="1.0" encoding="utf-8"?>
<sst xmlns="http://schemas.openxmlformats.org/spreadsheetml/2006/main" count="519" uniqueCount="180">
  <si>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</si>
  <si>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</si>
  <si>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</si>
  <si>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</si>
  <si>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</si>
  <si>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</si>
  <si>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</si>
  <si>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</si>
  <si>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</si>
  <si>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</si>
  <si>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</si>
  <si>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</si>
  <si>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</si>
  <si>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</si>
  <si>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</si>
  <si>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</si>
  <si>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</si>
  <si>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</si>
  <si>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</si>
  <si>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</si>
  <si>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</si>
  <si>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</si>
  <si>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</si>
  <si>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</si>
  <si>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</si>
  <si>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</si>
  <si>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</si>
  <si>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</si>
  <si>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</si>
  <si>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</si>
  <si>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</si>
  <si>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</si>
  <si>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</si>
  <si>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</si>
  <si>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</si>
  <si>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</si>
  <si>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</si>
  <si>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</si>
  <si>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</si>
  <si>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</si>
  <si>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</si>
  <si>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</si>
  <si>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</si>
  <si>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</si>
  <si>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</si>
  <si>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</si>
  <si>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</si>
  <si>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</si>
  <si>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</si>
  <si>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</si>
  <si>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</si>
  <si>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</si>
  <si>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</si>
  <si>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</si>
  <si>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</si>
  <si>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</si>
  <si>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</si>
  <si>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</si>
  <si>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</si>
  <si>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</si>
  <si>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</si>
  <si>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</si>
  <si>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</si>
  <si>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</si>
  <si>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</si>
  <si>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</si>
  <si>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</si>
  <si>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</si>
  <si>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</si>
  <si>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</si>
  <si>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</si>
  <si>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</si>
  <si>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</si>
  <si>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</si>
  <si>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</si>
  <si>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</si>
  <si>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</si>
  <si>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</si>
  <si>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</si>
  <si>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</si>
  <si>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</si>
  <si>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</si>
  <si>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</si>
  <si>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</si>
  <si>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</si>
  <si>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</si>
  <si>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</si>
  <si>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</si>
  <si>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</si>
  <si>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</si>
  <si>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</si>
  <si>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</si>
  <si>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</si>
  <si>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</si>
  <si>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</si>
  <si>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</si>
  <si>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</si>
  <si>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</si>
  <si>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</si>
  <si>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</si>
  <si>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</si>
  <si>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</si>
  <si>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</si>
  <si>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</si>
  <si>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</si>
  <si>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</si>
  <si>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</si>
  <si>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</si>
  <si>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</si>
  <si>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</si>
  <si>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</si>
  <si>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</si>
  <si>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</si>
  <si>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</si>
  <si>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</si>
  <si>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</si>
  <si>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</si>
  <si>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</si>
  <si>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</si>
  <si>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</si>
  <si>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</si>
  <si>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</si>
  <si>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</si>
  <si>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</si>
  <si>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</si>
  <si>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</si>
  <si>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</si>
  <si>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</si>
  <si>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</si>
  <si>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</si>
  <si>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</si>
  <si>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</si>
  <si>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</si>
  <si>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</si>
  <si>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</si>
  <si>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</si>
  <si>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</si>
  <si>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</si>
  <si>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</si>
  <si>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</si>
  <si>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</si>
  <si>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</si>
  <si>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</si>
  <si>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</si>
  <si>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</si>
  <si>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MAY</t>
  </si>
  <si>
    <t>Pear Stocks (Ton)*</t>
  </si>
  <si>
    <t>* Other varieties than Conference available in such small quantities, they have been summed in 'others'.</t>
  </si>
  <si>
    <t>Portugal:</t>
  </si>
  <si>
    <t>ANP - Associação Nacional de Produtores de Pera Rocha</t>
  </si>
  <si>
    <t>Golden Delicius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</si>
  <si>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</si>
  <si>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</si>
  <si>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</si>
  <si>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</si>
  <si>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Concorde</t>
  </si>
  <si>
    <t>Evelina</t>
  </si>
  <si>
    <t>Ligol</t>
  </si>
  <si>
    <t>AFRUCAT</t>
  </si>
  <si>
    <t>Doyenne du Comice</t>
  </si>
  <si>
    <t>Bohemica</t>
  </si>
  <si>
    <t>Lucasova</t>
  </si>
  <si>
    <t>Honeycrisp</t>
  </si>
  <si>
    <t>** From 12/2014 Cox's is included in others</t>
  </si>
  <si>
    <t>Cox**</t>
  </si>
  <si>
    <t>* Portugal: Rocha stocks are compared per two months, in this case to stocks of 1 March</t>
  </si>
  <si>
    <t>Durondeau</t>
  </si>
  <si>
    <t>%2017/2016</t>
  </si>
  <si>
    <t>Moved 2017</t>
  </si>
  <si>
    <t>** As of the 2016/ 2017 season,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</si>
  <si>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</si>
  <si>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</si>
  <si>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 Also the UK stopped counting in May for the 2016/2017 season</t>
  </si>
  <si>
    <t>Forelle</t>
  </si>
  <si>
    <t>Overview Northern Hemisphere apple and pear stocks 2017-2018</t>
  </si>
  <si>
    <t>Moved 2018</t>
  </si>
  <si>
    <t>%2018/2017</t>
  </si>
  <si>
    <t>Moved 2017=8</t>
  </si>
  <si>
    <t>Please note that this is an indication. The diference might be +- 15%</t>
  </si>
  <si>
    <t>*The figures for Bramley from Northern Ireland are not yet available.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</si>
</sst>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_(* #,##0_);_(* \(#,##0\);_(* &quot;-&quot;??_);_(@_)"/>
    <numFmt numFmtId="196" formatCode="_-* #,##0\ _€_-;\-* #,##0\ _€_-;_-* &quot;-&quot;??\ _€_-;_-@_-"/>
    <numFmt numFmtId="197" formatCode="_-* #,##0\ _P_t_s_-;\-* #,##0\ _P_t_s_-;_-* &quot;-&quot;??\ _P_t_s_-;_-@_-"/>
    <numFmt numFmtId="198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85" fontId="0" fillId="30" borderId="0" xfId="0" applyNumberFormat="1" applyFont="1" applyFill="1" applyBorder="1" applyAlignment="1">
      <alignment/>
    </xf>
    <xf numFmtId="185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85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85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85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1" fillId="26" borderId="16" xfId="39" applyNumberFormat="1" applyBorder="1" applyAlignment="1">
      <alignment/>
    </xf>
    <xf numFmtId="0" fontId="1" fillId="0" borderId="0" xfId="57" applyFont="1">
      <alignment/>
      <protection/>
    </xf>
    <xf numFmtId="185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85" fontId="1" fillId="30" borderId="10" xfId="57" applyNumberFormat="1" applyFont="1" applyFill="1" applyBorder="1">
      <alignment/>
      <protection/>
    </xf>
    <xf numFmtId="185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85" fontId="0" fillId="30" borderId="19" xfId="57" applyNumberFormat="1" applyFont="1" applyFill="1" applyBorder="1">
      <alignment/>
      <protection/>
    </xf>
    <xf numFmtId="3" fontId="0" fillId="37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 quotePrefix="1">
      <alignment horizontal="right"/>
    </xf>
    <xf numFmtId="14" fontId="1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7" xfId="59"/>
    <cellStyle name="Normale_4_uesto_pe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19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Ap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3354</v>
          </cell>
          <cell r="F2">
            <v>5221</v>
          </cell>
        </row>
        <row r="3">
          <cell r="E3">
            <v>1277</v>
          </cell>
          <cell r="F3">
            <v>858</v>
          </cell>
        </row>
        <row r="4">
          <cell r="E4">
            <v>10405</v>
          </cell>
          <cell r="F4">
            <v>6041</v>
          </cell>
        </row>
        <row r="5">
          <cell r="E5">
            <v>137910</v>
          </cell>
          <cell r="F5">
            <v>107077</v>
          </cell>
        </row>
        <row r="6">
          <cell r="E6">
            <v>205160</v>
          </cell>
          <cell r="F6">
            <v>183607</v>
          </cell>
        </row>
        <row r="7">
          <cell r="E7">
            <v>72814</v>
          </cell>
          <cell r="F7">
            <v>58617</v>
          </cell>
        </row>
        <row r="8">
          <cell r="E8">
            <v>192564</v>
          </cell>
          <cell r="F8">
            <v>92194</v>
          </cell>
        </row>
        <row r="9">
          <cell r="E9">
            <v>64505</v>
          </cell>
          <cell r="F9">
            <v>27784</v>
          </cell>
        </row>
        <row r="10">
          <cell r="E10">
            <v>1201</v>
          </cell>
          <cell r="F10">
            <v>1810</v>
          </cell>
        </row>
        <row r="11">
          <cell r="E11">
            <v>4593</v>
          </cell>
          <cell r="F11">
            <v>6022</v>
          </cell>
        </row>
        <row r="12">
          <cell r="E12">
            <v>0</v>
          </cell>
          <cell r="F12">
            <v>229</v>
          </cell>
        </row>
        <row r="13">
          <cell r="E13">
            <v>12444</v>
          </cell>
          <cell r="F13">
            <v>9204</v>
          </cell>
        </row>
        <row r="14">
          <cell r="E14">
            <v>1525</v>
          </cell>
          <cell r="F14">
            <v>1067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48841</v>
          </cell>
          <cell r="F17">
            <v>55930</v>
          </cell>
        </row>
        <row r="18">
          <cell r="E18">
            <v>298383</v>
          </cell>
          <cell r="F18">
            <v>385946</v>
          </cell>
        </row>
        <row r="19">
          <cell r="E19">
            <v>3468</v>
          </cell>
          <cell r="F19">
            <v>5031</v>
          </cell>
        </row>
        <row r="20">
          <cell r="E20">
            <v>229</v>
          </cell>
          <cell r="F20">
            <v>2725</v>
          </cell>
        </row>
        <row r="21">
          <cell r="E21">
            <v>2172</v>
          </cell>
          <cell r="F21">
            <v>858</v>
          </cell>
        </row>
        <row r="22">
          <cell r="E22">
            <v>229</v>
          </cell>
          <cell r="F22">
            <v>133</v>
          </cell>
        </row>
        <row r="23">
          <cell r="E23">
            <v>0</v>
          </cell>
          <cell r="F23">
            <v>0</v>
          </cell>
        </row>
        <row r="24">
          <cell r="E24">
            <v>19</v>
          </cell>
          <cell r="F24">
            <v>57</v>
          </cell>
        </row>
        <row r="25">
          <cell r="E25">
            <v>107325</v>
          </cell>
          <cell r="F25">
            <v>60466</v>
          </cell>
        </row>
        <row r="26">
          <cell r="E26">
            <v>1168418</v>
          </cell>
          <cell r="F26">
            <v>1010877</v>
          </cell>
        </row>
        <row r="30">
          <cell r="E30">
            <v>50746.32</v>
          </cell>
          <cell r="F30">
            <v>45305.42</v>
          </cell>
        </row>
        <row r="31">
          <cell r="E31">
            <v>1915.32</v>
          </cell>
          <cell r="F31">
            <v>7533.16</v>
          </cell>
        </row>
        <row r="32">
          <cell r="E32">
            <v>4505.98</v>
          </cell>
          <cell r="F32">
            <v>4949.78</v>
          </cell>
        </row>
        <row r="33">
          <cell r="E33">
            <v>0</v>
          </cell>
          <cell r="F33">
            <v>1.54</v>
          </cell>
        </row>
        <row r="34">
          <cell r="E34">
            <v>0</v>
          </cell>
          <cell r="F34">
            <v>0</v>
          </cell>
        </row>
        <row r="35">
          <cell r="E35">
            <v>14</v>
          </cell>
          <cell r="F35">
            <v>0</v>
          </cell>
        </row>
        <row r="36">
          <cell r="E36">
            <v>0</v>
          </cell>
          <cell r="F36">
            <v>4</v>
          </cell>
        </row>
        <row r="37">
          <cell r="E37">
            <v>0</v>
          </cell>
          <cell r="F37">
            <v>0</v>
          </cell>
        </row>
        <row r="38">
          <cell r="E38">
            <v>14.68</v>
          </cell>
          <cell r="F38">
            <v>6</v>
          </cell>
        </row>
        <row r="39">
          <cell r="E39">
            <v>13.54</v>
          </cell>
          <cell r="F39">
            <v>0</v>
          </cell>
        </row>
        <row r="40">
          <cell r="E40">
            <v>57209.84</v>
          </cell>
          <cell r="F40">
            <v>57799.9</v>
          </cell>
        </row>
      </sheetData>
      <sheetData sheetId="2">
        <row r="2">
          <cell r="E2">
            <v>27178</v>
          </cell>
          <cell r="F2">
            <v>13851.8</v>
          </cell>
        </row>
        <row r="3">
          <cell r="E3">
            <v>8257</v>
          </cell>
          <cell r="F3">
            <v>45613</v>
          </cell>
        </row>
        <row r="4">
          <cell r="E4">
            <v>12952</v>
          </cell>
          <cell r="F4">
            <v>10518</v>
          </cell>
        </row>
        <row r="5">
          <cell r="E5">
            <v>1474</v>
          </cell>
          <cell r="F5">
            <v>3374</v>
          </cell>
        </row>
        <row r="6">
          <cell r="E6">
            <v>247701</v>
          </cell>
          <cell r="F6">
            <v>263713</v>
          </cell>
        </row>
        <row r="7">
          <cell r="E7">
            <v>74908</v>
          </cell>
          <cell r="F7">
            <v>178868</v>
          </cell>
        </row>
        <row r="8">
          <cell r="E8">
            <v>326613</v>
          </cell>
          <cell r="F8">
            <v>673776.6450000001</v>
          </cell>
        </row>
        <row r="9">
          <cell r="E9">
            <v>286000</v>
          </cell>
          <cell r="F9">
            <v>580000</v>
          </cell>
        </row>
        <row r="11">
          <cell r="E11">
            <v>88490</v>
          </cell>
          <cell r="F11">
            <v>125751.73689310774</v>
          </cell>
        </row>
        <row r="12">
          <cell r="E12">
            <v>13907</v>
          </cell>
          <cell r="F12">
            <v>30918</v>
          </cell>
        </row>
        <row r="13">
          <cell r="E13">
            <v>55913</v>
          </cell>
          <cell r="F13">
            <v>107718</v>
          </cell>
        </row>
        <row r="14">
          <cell r="E14">
            <v>28086</v>
          </cell>
          <cell r="F14">
            <v>33420</v>
          </cell>
        </row>
        <row r="15">
          <cell r="E15">
            <v>1171479</v>
          </cell>
          <cell r="F15">
            <v>2067522.1818931077</v>
          </cell>
        </row>
        <row r="19">
          <cell r="E19">
            <v>40294</v>
          </cell>
          <cell r="F19">
            <v>57025</v>
          </cell>
        </row>
        <row r="20">
          <cell r="E20">
            <v>845</v>
          </cell>
          <cell r="F20">
            <v>518</v>
          </cell>
        </row>
        <row r="21">
          <cell r="E21">
            <v>0</v>
          </cell>
          <cell r="F21">
            <v>0</v>
          </cell>
        </row>
        <row r="22">
          <cell r="E22">
            <v>1474</v>
          </cell>
          <cell r="F22">
            <v>1238</v>
          </cell>
        </row>
        <row r="23">
          <cell r="E23">
            <v>393</v>
          </cell>
          <cell r="F23">
            <v>53</v>
          </cell>
        </row>
        <row r="24">
          <cell r="E24">
            <v>55986.568382426565</v>
          </cell>
          <cell r="F24">
            <v>34705.11771994747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33499</v>
          </cell>
          <cell r="F27">
            <v>23171.754472467466</v>
          </cell>
        </row>
        <row r="28">
          <cell r="E28">
            <v>0</v>
          </cell>
          <cell r="F28">
            <v>427</v>
          </cell>
        </row>
        <row r="29">
          <cell r="E29">
            <v>92431</v>
          </cell>
          <cell r="F29">
            <v>99869</v>
          </cell>
        </row>
        <row r="30">
          <cell r="E30">
            <v>898</v>
          </cell>
          <cell r="F30">
            <v>2150</v>
          </cell>
        </row>
        <row r="31">
          <cell r="E31">
            <v>225820.56838242657</v>
          </cell>
          <cell r="F31">
            <v>219156.87219241494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174</v>
          </cell>
          <cell r="F3">
            <v>5188</v>
          </cell>
        </row>
        <row r="4">
          <cell r="E4">
            <v>30786</v>
          </cell>
          <cell r="F4">
            <v>58655.119999999995</v>
          </cell>
        </row>
        <row r="5">
          <cell r="E5">
            <v>18000</v>
          </cell>
          <cell r="F5">
            <v>19850</v>
          </cell>
        </row>
        <row r="6">
          <cell r="E6">
            <v>256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53</v>
          </cell>
          <cell r="F8">
            <v>251</v>
          </cell>
        </row>
        <row r="9">
          <cell r="E9">
            <v>49186</v>
          </cell>
          <cell r="F9">
            <v>63674.9</v>
          </cell>
        </row>
        <row r="10">
          <cell r="E10">
            <v>21844</v>
          </cell>
          <cell r="F10">
            <v>48073</v>
          </cell>
        </row>
        <row r="11">
          <cell r="E11">
            <v>54450</v>
          </cell>
          <cell r="F11">
            <v>63636.366822938995</v>
          </cell>
        </row>
        <row r="12">
          <cell r="E12">
            <v>42560</v>
          </cell>
          <cell r="F12">
            <v>59010.39433673138</v>
          </cell>
        </row>
        <row r="13">
          <cell r="E13">
            <v>40296</v>
          </cell>
          <cell r="F13">
            <v>50459</v>
          </cell>
        </row>
        <row r="14">
          <cell r="E14">
            <v>446142</v>
          </cell>
          <cell r="F14">
            <v>749980.5731193078</v>
          </cell>
        </row>
        <row r="15">
          <cell r="E15">
            <v>82802</v>
          </cell>
          <cell r="F15">
            <v>68011.807822777</v>
          </cell>
        </row>
        <row r="16">
          <cell r="E16">
            <v>0</v>
          </cell>
          <cell r="F16">
            <v>0</v>
          </cell>
        </row>
        <row r="17">
          <cell r="E17">
            <v>82284</v>
          </cell>
          <cell r="F17">
            <v>182344.66</v>
          </cell>
        </row>
        <row r="18">
          <cell r="E18">
            <v>54526</v>
          </cell>
          <cell r="F18">
            <v>150137.28</v>
          </cell>
        </row>
        <row r="19">
          <cell r="E19">
            <v>15147</v>
          </cell>
          <cell r="F19">
            <v>57558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2624</v>
          </cell>
          <cell r="F22">
            <v>8335.43</v>
          </cell>
        </row>
        <row r="23">
          <cell r="E23">
            <v>2926</v>
          </cell>
          <cell r="F23">
            <v>7341.18</v>
          </cell>
        </row>
        <row r="24">
          <cell r="E24">
            <v>49837</v>
          </cell>
          <cell r="F24">
            <v>77873.22979135257</v>
          </cell>
        </row>
        <row r="25">
          <cell r="E25">
            <v>28554</v>
          </cell>
          <cell r="F25">
            <v>44254</v>
          </cell>
        </row>
        <row r="26">
          <cell r="E26">
            <v>2341</v>
          </cell>
          <cell r="F26">
            <v>11515.4</v>
          </cell>
        </row>
        <row r="27">
          <cell r="E27">
            <v>35134</v>
          </cell>
          <cell r="F27">
            <v>70724</v>
          </cell>
        </row>
        <row r="28">
          <cell r="E28">
            <v>671</v>
          </cell>
          <cell r="F28">
            <v>4410.4</v>
          </cell>
        </row>
        <row r="29">
          <cell r="E29">
            <v>0</v>
          </cell>
          <cell r="F29">
            <v>0</v>
          </cell>
        </row>
        <row r="30">
          <cell r="E30">
            <v>28345</v>
          </cell>
          <cell r="F30">
            <v>50818</v>
          </cell>
        </row>
        <row r="31">
          <cell r="E31">
            <v>82541</v>
          </cell>
          <cell r="F31">
            <v>215420.44</v>
          </cell>
        </row>
        <row r="32">
          <cell r="E32">
            <v>1171479</v>
          </cell>
          <cell r="F32">
            <v>2067522.181893107</v>
          </cell>
        </row>
        <row r="36">
          <cell r="E36">
            <v>34021.7952909856</v>
          </cell>
          <cell r="F36">
            <v>20538.413424085287</v>
          </cell>
        </row>
        <row r="37">
          <cell r="E37">
            <v>916</v>
          </cell>
          <cell r="F37">
            <v>985.7821236553427</v>
          </cell>
        </row>
        <row r="38">
          <cell r="E38">
            <v>3346</v>
          </cell>
          <cell r="F38">
            <v>1542.234650417612</v>
          </cell>
        </row>
        <row r="39">
          <cell r="E39">
            <v>177866.36084712658</v>
          </cell>
          <cell r="F39">
            <v>188522.34262618254</v>
          </cell>
        </row>
        <row r="40">
          <cell r="E40">
            <v>197.76443915123636</v>
          </cell>
          <cell r="F40">
            <v>199.2790609218642</v>
          </cell>
        </row>
        <row r="41">
          <cell r="E41">
            <v>5314.64780516314</v>
          </cell>
          <cell r="F41">
            <v>2996.125367762611</v>
          </cell>
        </row>
        <row r="42">
          <cell r="E42">
            <v>0</v>
          </cell>
          <cell r="F42">
            <v>0</v>
          </cell>
        </row>
        <row r="43">
          <cell r="E43">
            <v>4158</v>
          </cell>
          <cell r="F43">
            <v>4372.69493938969</v>
          </cell>
        </row>
        <row r="44">
          <cell r="E44">
            <v>225820.56838242657</v>
          </cell>
          <cell r="F44">
            <v>219156.87219241494</v>
          </cell>
        </row>
      </sheetData>
      <sheetData sheetId="4">
        <row r="2">
          <cell r="E2">
            <v>23</v>
          </cell>
        </row>
        <row r="3">
          <cell r="E3">
            <v>0</v>
          </cell>
        </row>
        <row r="4">
          <cell r="E4">
            <v>1433</v>
          </cell>
          <cell r="F4">
            <v>418.02</v>
          </cell>
        </row>
        <row r="5">
          <cell r="E5">
            <v>0</v>
          </cell>
        </row>
        <row r="6">
          <cell r="E6">
            <v>2416</v>
          </cell>
          <cell r="F6">
            <v>1389.24</v>
          </cell>
        </row>
        <row r="7">
          <cell r="E7">
            <v>666</v>
          </cell>
          <cell r="F7">
            <v>44.88</v>
          </cell>
        </row>
        <row r="8">
          <cell r="E8">
            <v>4578</v>
          </cell>
          <cell r="F8">
            <v>157.82</v>
          </cell>
        </row>
        <row r="10">
          <cell r="E10">
            <v>13911</v>
          </cell>
          <cell r="F10">
            <v>11151.02</v>
          </cell>
        </row>
        <row r="11">
          <cell r="E11">
            <v>9</v>
          </cell>
        </row>
        <row r="12">
          <cell r="E12">
            <v>2080</v>
          </cell>
          <cell r="F12">
            <v>155.66</v>
          </cell>
        </row>
        <row r="13">
          <cell r="E13">
            <v>1244</v>
          </cell>
          <cell r="F13">
            <v>269.98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405</v>
          </cell>
          <cell r="F16">
            <v>60.18</v>
          </cell>
        </row>
        <row r="17">
          <cell r="E17">
            <v>322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91</v>
          </cell>
          <cell r="F20">
            <v>205</v>
          </cell>
        </row>
        <row r="21">
          <cell r="E21">
            <v>27178</v>
          </cell>
          <cell r="F21">
            <v>13851.8</v>
          </cell>
        </row>
      </sheetData>
      <sheetData sheetId="5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4</v>
          </cell>
          <cell r="F4">
            <v>2</v>
          </cell>
        </row>
        <row r="6">
          <cell r="E6">
            <v>4463</v>
          </cell>
          <cell r="F6">
            <v>8496</v>
          </cell>
        </row>
        <row r="7">
          <cell r="E7">
            <v>1389</v>
          </cell>
          <cell r="F7">
            <v>21885</v>
          </cell>
        </row>
        <row r="8">
          <cell r="E8">
            <v>430</v>
          </cell>
          <cell r="F8">
            <v>14892</v>
          </cell>
        </row>
        <row r="9">
          <cell r="E9">
            <v>1971</v>
          </cell>
          <cell r="F9">
            <v>338</v>
          </cell>
        </row>
        <row r="10">
          <cell r="E10">
            <v>8257</v>
          </cell>
          <cell r="F10">
            <v>45613</v>
          </cell>
        </row>
        <row r="15">
          <cell r="E15">
            <v>40230</v>
          </cell>
          <cell r="F15">
            <v>57000</v>
          </cell>
        </row>
        <row r="16">
          <cell r="E16">
            <v>0</v>
          </cell>
          <cell r="F16">
            <v>25</v>
          </cell>
        </row>
        <row r="17">
          <cell r="E17">
            <v>0</v>
          </cell>
          <cell r="F17">
            <v>0</v>
          </cell>
        </row>
        <row r="18">
          <cell r="E18">
            <v>64</v>
          </cell>
          <cell r="F18">
            <v>0</v>
          </cell>
        </row>
        <row r="19">
          <cell r="E19">
            <v>40294</v>
          </cell>
          <cell r="F19">
            <v>57025</v>
          </cell>
        </row>
      </sheetData>
      <sheetData sheetId="6">
        <row r="2">
          <cell r="E2">
            <v>307</v>
          </cell>
          <cell r="F2">
            <v>654</v>
          </cell>
        </row>
        <row r="3">
          <cell r="E3">
            <v>1127</v>
          </cell>
          <cell r="F3">
            <v>597</v>
          </cell>
        </row>
        <row r="4">
          <cell r="E4">
            <v>296</v>
          </cell>
          <cell r="F4">
            <v>93</v>
          </cell>
        </row>
        <row r="5">
          <cell r="E5">
            <v>6095</v>
          </cell>
          <cell r="F5">
            <v>4897</v>
          </cell>
        </row>
        <row r="6">
          <cell r="E6">
            <v>2819</v>
          </cell>
          <cell r="F6">
            <v>1882</v>
          </cell>
        </row>
        <row r="7">
          <cell r="E7">
            <v>786</v>
          </cell>
          <cell r="F7">
            <v>1457</v>
          </cell>
        </row>
        <row r="8">
          <cell r="E8">
            <v>506</v>
          </cell>
          <cell r="F8">
            <v>48</v>
          </cell>
        </row>
        <row r="9">
          <cell r="E9">
            <v>127</v>
          </cell>
          <cell r="F9">
            <v>368</v>
          </cell>
        </row>
        <row r="10">
          <cell r="E10">
            <v>0</v>
          </cell>
          <cell r="F10">
            <v>0</v>
          </cell>
        </row>
        <row r="11">
          <cell r="E11">
            <v>889</v>
          </cell>
          <cell r="F11">
            <v>522</v>
          </cell>
        </row>
        <row r="12">
          <cell r="E12">
            <v>12952</v>
          </cell>
          <cell r="F12">
            <v>10518</v>
          </cell>
        </row>
        <row r="16">
          <cell r="E16">
            <v>845</v>
          </cell>
          <cell r="F16">
            <v>515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3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845</v>
          </cell>
          <cell r="F21">
            <v>518</v>
          </cell>
        </row>
      </sheetData>
      <sheetData sheetId="7">
        <row r="3">
          <cell r="F3">
            <v>7</v>
          </cell>
        </row>
        <row r="5">
          <cell r="E5">
            <v>379</v>
          </cell>
          <cell r="F5">
            <v>647</v>
          </cell>
        </row>
        <row r="6">
          <cell r="F6">
            <v>3</v>
          </cell>
        </row>
        <row r="7">
          <cell r="F7">
            <v>53</v>
          </cell>
        </row>
        <row r="12">
          <cell r="F12">
            <v>15</v>
          </cell>
        </row>
        <row r="13">
          <cell r="E13">
            <v>577</v>
          </cell>
          <cell r="F13">
            <v>1704</v>
          </cell>
        </row>
        <row r="17">
          <cell r="F17">
            <v>888</v>
          </cell>
        </row>
        <row r="18">
          <cell r="E18">
            <v>518</v>
          </cell>
          <cell r="F18">
            <v>57</v>
          </cell>
        </row>
        <row r="19">
          <cell r="E19">
            <v>1474</v>
          </cell>
          <cell r="F19">
            <v>3374</v>
          </cell>
        </row>
        <row r="25">
          <cell r="F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1373</v>
          </cell>
        </row>
        <row r="3">
          <cell r="E3">
            <v>8144</v>
          </cell>
        </row>
        <row r="4">
          <cell r="E4">
            <v>116</v>
          </cell>
        </row>
        <row r="5">
          <cell r="E5">
            <v>6929</v>
          </cell>
        </row>
        <row r="7">
          <cell r="E7">
            <v>2428</v>
          </cell>
        </row>
        <row r="8">
          <cell r="E8">
            <v>29577</v>
          </cell>
        </row>
        <row r="9">
          <cell r="E9">
            <v>130</v>
          </cell>
        </row>
        <row r="10">
          <cell r="E10">
            <v>9839</v>
          </cell>
        </row>
        <row r="11">
          <cell r="E11">
            <v>16403</v>
          </cell>
        </row>
        <row r="12">
          <cell r="E12">
            <v>108209</v>
          </cell>
        </row>
        <row r="13">
          <cell r="E13">
            <v>905</v>
          </cell>
        </row>
        <row r="14">
          <cell r="E14">
            <v>32799</v>
          </cell>
        </row>
        <row r="15">
          <cell r="E15">
            <v>763</v>
          </cell>
        </row>
        <row r="16">
          <cell r="E16">
            <v>346</v>
          </cell>
        </row>
        <row r="17">
          <cell r="E17">
            <v>6483</v>
          </cell>
        </row>
        <row r="18">
          <cell r="E18">
            <v>6875</v>
          </cell>
        </row>
        <row r="19">
          <cell r="E19">
            <v>5951</v>
          </cell>
        </row>
        <row r="20">
          <cell r="E20">
            <v>0</v>
          </cell>
        </row>
        <row r="21">
          <cell r="E21">
            <v>2341</v>
          </cell>
        </row>
        <row r="22">
          <cell r="E22">
            <v>101</v>
          </cell>
        </row>
        <row r="23">
          <cell r="E23">
            <v>5320</v>
          </cell>
        </row>
        <row r="24">
          <cell r="E24">
            <v>858</v>
          </cell>
        </row>
        <row r="25">
          <cell r="E25">
            <v>1811</v>
          </cell>
        </row>
        <row r="26">
          <cell r="E26">
            <v>247701</v>
          </cell>
        </row>
        <row r="30">
          <cell r="E30">
            <v>487</v>
          </cell>
        </row>
        <row r="32">
          <cell r="E32">
            <v>775</v>
          </cell>
        </row>
        <row r="33">
          <cell r="E33">
            <v>123</v>
          </cell>
        </row>
        <row r="35">
          <cell r="E35">
            <v>65</v>
          </cell>
        </row>
        <row r="37">
          <cell r="E37">
            <v>24</v>
          </cell>
        </row>
        <row r="38">
          <cell r="E38">
            <v>1474</v>
          </cell>
        </row>
      </sheetData>
      <sheetData sheetId="9">
        <row r="2">
          <cell r="E2">
            <v>0</v>
          </cell>
          <cell r="F2">
            <v>3751</v>
          </cell>
        </row>
        <row r="3">
          <cell r="E3">
            <v>525</v>
          </cell>
          <cell r="F3">
            <v>3981</v>
          </cell>
        </row>
        <row r="4">
          <cell r="E4">
            <v>0</v>
          </cell>
          <cell r="F4">
            <v>41</v>
          </cell>
        </row>
        <row r="5">
          <cell r="E5">
            <v>8568</v>
          </cell>
          <cell r="F5">
            <v>18507</v>
          </cell>
        </row>
        <row r="6">
          <cell r="E6">
            <v>478</v>
          </cell>
          <cell r="F6">
            <v>3503</v>
          </cell>
        </row>
        <row r="7">
          <cell r="E7">
            <v>2170</v>
          </cell>
          <cell r="F7">
            <v>5476</v>
          </cell>
        </row>
        <row r="8">
          <cell r="E8">
            <v>0</v>
          </cell>
          <cell r="F8">
            <v>366</v>
          </cell>
        </row>
        <row r="9">
          <cell r="E9">
            <v>742</v>
          </cell>
          <cell r="F9">
            <v>6064</v>
          </cell>
        </row>
        <row r="10">
          <cell r="E10">
            <v>0</v>
          </cell>
        </row>
        <row r="11">
          <cell r="E11">
            <v>6441</v>
          </cell>
          <cell r="F11">
            <v>8653</v>
          </cell>
        </row>
        <row r="12">
          <cell r="E12">
            <v>0</v>
          </cell>
        </row>
        <row r="13">
          <cell r="E13">
            <v>5583</v>
          </cell>
          <cell r="F13">
            <v>21323</v>
          </cell>
        </row>
        <row r="14">
          <cell r="E14">
            <v>13884</v>
          </cell>
          <cell r="F14">
            <v>40962</v>
          </cell>
        </row>
        <row r="15">
          <cell r="E15">
            <v>2521</v>
          </cell>
          <cell r="F15">
            <v>7170</v>
          </cell>
        </row>
        <row r="16">
          <cell r="E16">
            <v>28232</v>
          </cell>
          <cell r="F16">
            <v>44254</v>
          </cell>
        </row>
        <row r="17">
          <cell r="E17">
            <v>7</v>
          </cell>
          <cell r="F17">
            <v>356</v>
          </cell>
        </row>
        <row r="18">
          <cell r="E18">
            <v>68</v>
          </cell>
          <cell r="F18">
            <v>238</v>
          </cell>
        </row>
        <row r="19">
          <cell r="E19">
            <v>5435</v>
          </cell>
          <cell r="F19">
            <v>12376</v>
          </cell>
        </row>
        <row r="20">
          <cell r="E20">
            <v>254</v>
          </cell>
          <cell r="F20">
            <v>1847</v>
          </cell>
        </row>
        <row r="21">
          <cell r="E21">
            <v>74908</v>
          </cell>
          <cell r="F21">
            <v>178868</v>
          </cell>
        </row>
        <row r="24">
          <cell r="F24">
            <v>42826</v>
          </cell>
        </row>
        <row r="25">
          <cell r="E25">
            <v>393</v>
          </cell>
          <cell r="F25">
            <v>53</v>
          </cell>
        </row>
        <row r="26">
          <cell r="E26">
            <v>393</v>
          </cell>
          <cell r="F26">
            <v>53</v>
          </cell>
        </row>
      </sheetData>
      <sheetData sheetId="10">
        <row r="2">
          <cell r="E2">
            <v>0</v>
          </cell>
          <cell r="F2">
            <v>0</v>
          </cell>
        </row>
        <row r="3">
          <cell r="E3">
            <v>18656</v>
          </cell>
          <cell r="F3">
            <v>34255.1</v>
          </cell>
        </row>
        <row r="4">
          <cell r="E4">
            <v>19609</v>
          </cell>
          <cell r="F4">
            <v>31233.9</v>
          </cell>
        </row>
        <row r="5">
          <cell r="E5">
            <v>0</v>
          </cell>
          <cell r="F5">
            <v>0</v>
          </cell>
        </row>
        <row r="6">
          <cell r="E6">
            <v>35418</v>
          </cell>
          <cell r="F6">
            <v>41091.009999999995</v>
          </cell>
        </row>
        <row r="7">
          <cell r="E7">
            <v>524</v>
          </cell>
          <cell r="F7">
            <v>10541.91</v>
          </cell>
        </row>
        <row r="8">
          <cell r="E8">
            <v>0</v>
          </cell>
          <cell r="F8">
            <v>0</v>
          </cell>
        </row>
        <row r="9">
          <cell r="E9">
            <v>152696</v>
          </cell>
          <cell r="F9">
            <v>391916.57</v>
          </cell>
        </row>
        <row r="10">
          <cell r="E10">
            <v>41022</v>
          </cell>
          <cell r="F10">
            <v>37277.525</v>
          </cell>
        </row>
        <row r="11">
          <cell r="E11">
            <v>584</v>
          </cell>
          <cell r="F11">
            <v>566</v>
          </cell>
        </row>
        <row r="12">
          <cell r="E12">
            <v>3000</v>
          </cell>
          <cell r="F12">
            <v>3915.3</v>
          </cell>
        </row>
        <row r="13">
          <cell r="E13">
            <v>0</v>
          </cell>
          <cell r="F13">
            <v>0</v>
          </cell>
        </row>
        <row r="14">
          <cell r="E14">
            <v>2624</v>
          </cell>
          <cell r="F14">
            <v>8335.43</v>
          </cell>
        </row>
        <row r="15">
          <cell r="E15">
            <v>36400</v>
          </cell>
          <cell r="F15">
            <v>65665.9</v>
          </cell>
        </row>
        <row r="16">
          <cell r="E16">
            <v>0</v>
          </cell>
          <cell r="F16">
            <v>8670.4</v>
          </cell>
        </row>
        <row r="17">
          <cell r="E17">
            <v>671</v>
          </cell>
          <cell r="F17">
            <v>4410.4</v>
          </cell>
        </row>
        <row r="18">
          <cell r="E18">
            <v>15409</v>
          </cell>
          <cell r="F18">
            <v>35897.2</v>
          </cell>
        </row>
        <row r="19">
          <cell r="E19">
            <v>326613</v>
          </cell>
          <cell r="F19">
            <v>673776.6450000001</v>
          </cell>
        </row>
        <row r="23">
          <cell r="E23">
            <v>34021.7952909856</v>
          </cell>
          <cell r="F23">
            <v>20538.413424085287</v>
          </cell>
        </row>
        <row r="24">
          <cell r="E24">
            <v>15753.36084712658</v>
          </cell>
          <cell r="F24">
            <v>10381.299867177708</v>
          </cell>
        </row>
        <row r="25">
          <cell r="E25">
            <v>74.76443915123636</v>
          </cell>
          <cell r="F25">
            <v>89.2790609218642</v>
          </cell>
        </row>
        <row r="26">
          <cell r="E26">
            <v>5314.64780516314</v>
          </cell>
          <cell r="F26">
            <v>2996.125367762611</v>
          </cell>
        </row>
        <row r="27">
          <cell r="E27">
            <v>822</v>
          </cell>
          <cell r="F27">
            <v>700</v>
          </cell>
        </row>
        <row r="28">
          <cell r="E28">
            <v>55986.568382426565</v>
          </cell>
          <cell r="F28">
            <v>34705.11771994747</v>
          </cell>
        </row>
      </sheetData>
      <sheetData sheetId="11">
        <row r="5">
          <cell r="F5">
            <v>10000</v>
          </cell>
        </row>
        <row r="6">
          <cell r="F6">
            <v>50000</v>
          </cell>
        </row>
        <row r="7">
          <cell r="F7">
            <v>95000</v>
          </cell>
        </row>
        <row r="8">
          <cell r="F8">
            <v>170000</v>
          </cell>
        </row>
        <row r="9">
          <cell r="F9">
            <v>45000</v>
          </cell>
        </row>
        <row r="10">
          <cell r="F10">
            <v>65000</v>
          </cell>
        </row>
        <row r="14">
          <cell r="F14">
            <v>70000</v>
          </cell>
        </row>
        <row r="16">
          <cell r="F16">
            <v>75000</v>
          </cell>
        </row>
        <row r="17">
          <cell r="F17">
            <v>580000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</sheetData>
      <sheetData sheetId="13">
        <row r="2">
          <cell r="E2">
            <v>8049</v>
          </cell>
          <cell r="F2">
            <v>12353.476822938994</v>
          </cell>
        </row>
        <row r="3">
          <cell r="E3">
            <v>411</v>
          </cell>
          <cell r="F3">
            <v>1843.6643367313832</v>
          </cell>
        </row>
        <row r="4">
          <cell r="E4">
            <v>59446</v>
          </cell>
          <cell r="F4">
            <v>90766.98311930777</v>
          </cell>
        </row>
        <row r="5">
          <cell r="E5">
            <v>8934</v>
          </cell>
          <cell r="F5">
            <v>8954.282822777006</v>
          </cell>
        </row>
        <row r="6">
          <cell r="E6">
            <v>6980</v>
          </cell>
          <cell r="F6">
            <v>6543.329791352571</v>
          </cell>
        </row>
        <row r="7">
          <cell r="E7">
            <v>4670</v>
          </cell>
          <cell r="F7">
            <v>5290</v>
          </cell>
        </row>
        <row r="8">
          <cell r="E8">
            <v>88490</v>
          </cell>
          <cell r="F8">
            <v>125751.73689310774</v>
          </cell>
        </row>
        <row r="12">
          <cell r="E12">
            <v>916</v>
          </cell>
          <cell r="F12">
            <v>985.7821236553427</v>
          </cell>
        </row>
        <row r="13">
          <cell r="E13">
            <v>3346</v>
          </cell>
          <cell r="F13">
            <v>1542.234650417612</v>
          </cell>
        </row>
        <row r="14">
          <cell r="E14">
            <v>28418</v>
          </cell>
          <cell r="F14">
            <v>19933.04275900482</v>
          </cell>
        </row>
        <row r="15">
          <cell r="E15">
            <v>0</v>
          </cell>
          <cell r="F15">
            <v>0</v>
          </cell>
        </row>
        <row r="16">
          <cell r="E16">
            <v>819</v>
          </cell>
          <cell r="F16">
            <v>710.6949393896897</v>
          </cell>
        </row>
        <row r="17">
          <cell r="E17">
            <v>33499</v>
          </cell>
          <cell r="F17">
            <v>23171.754472467466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1314</v>
          </cell>
          <cell r="F3">
            <v>4280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3807</v>
          </cell>
          <cell r="F6">
            <v>6880</v>
          </cell>
        </row>
        <row r="7">
          <cell r="E7">
            <v>4</v>
          </cell>
          <cell r="F7">
            <v>57</v>
          </cell>
        </row>
        <row r="8">
          <cell r="E8">
            <v>5526</v>
          </cell>
          <cell r="F8">
            <v>9466</v>
          </cell>
        </row>
        <row r="9">
          <cell r="E9">
            <v>38</v>
          </cell>
          <cell r="F9">
            <v>57</v>
          </cell>
        </row>
        <row r="10">
          <cell r="E10">
            <v>14</v>
          </cell>
          <cell r="F10">
            <v>312</v>
          </cell>
        </row>
        <row r="11">
          <cell r="E11">
            <v>0</v>
          </cell>
          <cell r="F11">
            <v>2238</v>
          </cell>
        </row>
        <row r="12">
          <cell r="E12">
            <v>0</v>
          </cell>
          <cell r="F12">
            <v>50</v>
          </cell>
        </row>
        <row r="13">
          <cell r="E13">
            <v>64</v>
          </cell>
          <cell r="F13">
            <v>173</v>
          </cell>
        </row>
        <row r="14">
          <cell r="E14">
            <v>0</v>
          </cell>
          <cell r="F14">
            <v>111</v>
          </cell>
        </row>
        <row r="15">
          <cell r="E15">
            <v>0</v>
          </cell>
          <cell r="F15">
            <v>0</v>
          </cell>
        </row>
        <row r="16">
          <cell r="E16">
            <v>5</v>
          </cell>
          <cell r="F16">
            <v>113</v>
          </cell>
        </row>
        <row r="17">
          <cell r="E17">
            <v>2691</v>
          </cell>
          <cell r="F17">
            <v>4922</v>
          </cell>
        </row>
        <row r="18">
          <cell r="E18">
            <v>444</v>
          </cell>
          <cell r="F18">
            <v>2259</v>
          </cell>
        </row>
        <row r="19">
          <cell r="E19">
            <v>13907</v>
          </cell>
          <cell r="F19">
            <v>30918</v>
          </cell>
        </row>
        <row r="23">
          <cell r="E23">
            <v>0</v>
          </cell>
          <cell r="F23">
            <v>298</v>
          </cell>
        </row>
        <row r="24">
          <cell r="E24">
            <v>0</v>
          </cell>
          <cell r="F24">
            <v>64</v>
          </cell>
        </row>
        <row r="25">
          <cell r="E25">
            <v>0</v>
          </cell>
          <cell r="F25">
            <v>20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45</v>
          </cell>
        </row>
        <row r="28">
          <cell r="E28">
            <v>0</v>
          </cell>
          <cell r="F28">
            <v>427</v>
          </cell>
        </row>
      </sheetData>
      <sheetData sheetId="15">
        <row r="2">
          <cell r="E2">
            <v>58</v>
          </cell>
          <cell r="F2">
            <v>1082</v>
          </cell>
        </row>
        <row r="3">
          <cell r="E3">
            <v>12763</v>
          </cell>
          <cell r="F3">
            <v>28585</v>
          </cell>
        </row>
        <row r="4">
          <cell r="E4">
            <v>5054</v>
          </cell>
          <cell r="F4">
            <v>6566</v>
          </cell>
        </row>
        <row r="5">
          <cell r="E5">
            <v>25649</v>
          </cell>
          <cell r="F5">
            <v>47537</v>
          </cell>
        </row>
        <row r="6">
          <cell r="E6">
            <v>8478</v>
          </cell>
          <cell r="F6">
            <v>19933</v>
          </cell>
        </row>
        <row r="7">
          <cell r="E7">
            <v>3911</v>
          </cell>
          <cell r="F7">
            <v>4015</v>
          </cell>
        </row>
        <row r="8">
          <cell r="E8">
            <v>55913</v>
          </cell>
          <cell r="F8">
            <v>107718</v>
          </cell>
        </row>
        <row r="12">
          <cell r="E12">
            <v>90947</v>
          </cell>
          <cell r="F12">
            <v>97997</v>
          </cell>
        </row>
        <row r="13">
          <cell r="E13">
            <v>0</v>
          </cell>
          <cell r="F13">
            <v>35</v>
          </cell>
        </row>
        <row r="14">
          <cell r="E14">
            <v>1484</v>
          </cell>
          <cell r="F14">
            <v>1837</v>
          </cell>
        </row>
        <row r="15">
          <cell r="E15">
            <v>92431</v>
          </cell>
          <cell r="F15">
            <v>99869</v>
          </cell>
        </row>
      </sheetData>
      <sheetData sheetId="16">
        <row r="2">
          <cell r="E2">
            <v>1622</v>
          </cell>
          <cell r="F2">
            <v>5410</v>
          </cell>
        </row>
        <row r="3">
          <cell r="E3">
            <v>18000</v>
          </cell>
          <cell r="F3">
            <v>19850</v>
          </cell>
        </row>
        <row r="4">
          <cell r="E4">
            <v>256</v>
          </cell>
          <cell r="F4">
            <v>0</v>
          </cell>
        </row>
        <row r="5">
          <cell r="E5">
            <v>53</v>
          </cell>
          <cell r="F5">
            <v>210</v>
          </cell>
        </row>
        <row r="6">
          <cell r="E6">
            <v>6540</v>
          </cell>
          <cell r="F6">
            <v>5540</v>
          </cell>
        </row>
        <row r="7">
          <cell r="E7">
            <v>0</v>
          </cell>
          <cell r="F7">
            <v>0</v>
          </cell>
        </row>
        <row r="8">
          <cell r="E8">
            <v>256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1359</v>
          </cell>
          <cell r="F10">
            <v>0</v>
          </cell>
        </row>
        <row r="11">
          <cell r="E11">
            <v>0</v>
          </cell>
          <cell r="F11">
            <v>2410</v>
          </cell>
        </row>
        <row r="12">
          <cell r="E12">
            <v>28086</v>
          </cell>
          <cell r="F12">
            <v>33420</v>
          </cell>
        </row>
        <row r="16">
          <cell r="E16">
            <v>898</v>
          </cell>
          <cell r="F16">
            <v>2150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898</v>
          </cell>
          <cell r="F19">
            <v>2150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2">
        <row r="13">
          <cell r="E13">
            <v>36205</v>
          </cell>
          <cell r="F13">
            <v>27028</v>
          </cell>
        </row>
        <row r="14">
          <cell r="E14">
            <v>36205</v>
          </cell>
          <cell r="F14">
            <v>27028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1">
      <selection activeCell="F19" sqref="F19"/>
    </sheetView>
  </sheetViews>
  <sheetFormatPr defaultColWidth="9.140625" defaultRowHeight="12.75"/>
  <cols>
    <col min="3" max="3" width="18.421875" style="0" customWidth="1"/>
  </cols>
  <sheetData>
    <row r="19" spans="2:7" ht="12.75">
      <c r="B19" t="s">
        <v>174</v>
      </c>
      <c r="G19" s="106" t="s">
        <v>145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91</v>
      </c>
    </row>
    <row r="24" ht="12.75">
      <c r="C24" s="3" t="s">
        <v>119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87</v>
      </c>
    </row>
    <row r="30" spans="3:4" ht="12.75">
      <c r="C30" s="3" t="s">
        <v>137</v>
      </c>
      <c r="D30" t="s">
        <v>73</v>
      </c>
    </row>
    <row r="31" spans="3:4" ht="12.75">
      <c r="C31" t="s">
        <v>74</v>
      </c>
      <c r="D31" t="s">
        <v>133</v>
      </c>
    </row>
    <row r="32" spans="3:4" ht="12.75">
      <c r="C32" t="s">
        <v>75</v>
      </c>
      <c r="D32" t="s">
        <v>132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86</v>
      </c>
    </row>
    <row r="35" spans="3:4" ht="12.75">
      <c r="C35" t="s">
        <v>148</v>
      </c>
      <c r="D35" s="26" t="s">
        <v>149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85</v>
      </c>
    </row>
    <row r="38" spans="3:4" ht="12.75">
      <c r="C38" t="s">
        <v>81</v>
      </c>
      <c r="D38" t="s">
        <v>84</v>
      </c>
    </row>
    <row r="39" spans="3:4" ht="12.75">
      <c r="C39" t="s">
        <v>82</v>
      </c>
      <c r="D39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4" width="11.57421875" style="9" bestFit="1" customWidth="1"/>
    <col min="5" max="5" width="11.5742187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2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53" t="s">
        <v>4</v>
      </c>
      <c r="B2" s="60">
        <f>(E2-F2)/F2</f>
        <v>-1</v>
      </c>
      <c r="C2" s="101">
        <f>E2-'[1]Germany'!E2</f>
        <v>0</v>
      </c>
      <c r="D2" s="90">
        <f>F2-'[1]Germany'!F2</f>
        <v>-2585</v>
      </c>
      <c r="E2" s="56">
        <v>0</v>
      </c>
      <c r="F2" s="90">
        <v>1166</v>
      </c>
      <c r="G2" s="90">
        <v>36</v>
      </c>
      <c r="H2" s="90">
        <v>969</v>
      </c>
      <c r="I2" s="90">
        <v>135</v>
      </c>
      <c r="J2" s="90">
        <v>0</v>
      </c>
      <c r="K2" s="90">
        <v>0</v>
      </c>
      <c r="L2" s="90">
        <v>27</v>
      </c>
      <c r="M2" s="90">
        <v>50</v>
      </c>
      <c r="N2" s="90">
        <v>685</v>
      </c>
      <c r="O2" s="51">
        <v>60</v>
      </c>
      <c r="P2" s="81">
        <v>479</v>
      </c>
    </row>
    <row r="3" spans="1:16" ht="12.75">
      <c r="A3" s="53" t="s">
        <v>11</v>
      </c>
      <c r="B3" s="60">
        <f aca="true" t="shared" si="0" ref="B3:B21">(E3-F3)/F3</f>
        <v>-0.8048128342245989</v>
      </c>
      <c r="C3" s="101">
        <f>E3-'[1]Germany'!E3</f>
        <v>-452</v>
      </c>
      <c r="D3" s="90">
        <f>F3-'[1]Germany'!F3</f>
        <v>-3607</v>
      </c>
      <c r="E3" s="56">
        <v>73</v>
      </c>
      <c r="F3" s="90">
        <v>374</v>
      </c>
      <c r="G3" s="90">
        <v>1194</v>
      </c>
      <c r="H3" s="90">
        <v>121</v>
      </c>
      <c r="I3" s="90">
        <v>812</v>
      </c>
      <c r="J3" s="90">
        <v>80</v>
      </c>
      <c r="K3" s="90">
        <v>1108</v>
      </c>
      <c r="L3" s="90">
        <v>606</v>
      </c>
      <c r="M3" s="90">
        <v>873</v>
      </c>
      <c r="N3" s="90">
        <v>168</v>
      </c>
      <c r="O3" s="51">
        <v>167</v>
      </c>
      <c r="P3" s="81">
        <v>387</v>
      </c>
    </row>
    <row r="4" spans="1:16" ht="12.75">
      <c r="A4" s="53" t="s">
        <v>5</v>
      </c>
      <c r="B4" s="60">
        <f t="shared" si="0"/>
        <v>-1</v>
      </c>
      <c r="C4" s="101">
        <f>E4-'[1]Germany'!E4</f>
        <v>0</v>
      </c>
      <c r="D4" s="90">
        <f>F4-'[1]Germany'!F4</f>
        <v>-40</v>
      </c>
      <c r="E4" s="56">
        <v>0</v>
      </c>
      <c r="F4" s="90">
        <v>1</v>
      </c>
      <c r="G4" s="90">
        <v>32</v>
      </c>
      <c r="H4" s="90">
        <v>0</v>
      </c>
      <c r="I4" s="90">
        <v>3</v>
      </c>
      <c r="J4" s="90">
        <v>0</v>
      </c>
      <c r="K4" s="90">
        <v>0</v>
      </c>
      <c r="L4" s="90">
        <v>0</v>
      </c>
      <c r="M4" s="90">
        <v>2</v>
      </c>
      <c r="N4" s="90">
        <v>11</v>
      </c>
      <c r="O4" s="51">
        <v>0</v>
      </c>
      <c r="P4" s="81">
        <v>65</v>
      </c>
    </row>
    <row r="5" spans="1:16" ht="12.75">
      <c r="A5" s="53" t="s">
        <v>2</v>
      </c>
      <c r="B5" s="60">
        <f t="shared" si="0"/>
        <v>-0.644022644022644</v>
      </c>
      <c r="C5" s="101">
        <f>E5-'[1]Germany'!E5</f>
        <v>-5361</v>
      </c>
      <c r="D5" s="90">
        <f>F5-'[1]Germany'!F5</f>
        <v>-9498</v>
      </c>
      <c r="E5" s="56">
        <v>3207</v>
      </c>
      <c r="F5" s="90">
        <v>9009</v>
      </c>
      <c r="G5" s="90">
        <v>6032</v>
      </c>
      <c r="H5" s="90">
        <v>14788</v>
      </c>
      <c r="I5" s="90">
        <v>5087</v>
      </c>
      <c r="J5" s="90">
        <v>3720</v>
      </c>
      <c r="K5" s="90">
        <v>4992</v>
      </c>
      <c r="L5" s="90">
        <v>5120</v>
      </c>
      <c r="M5" s="90">
        <v>9087</v>
      </c>
      <c r="N5" s="90">
        <v>3893</v>
      </c>
      <c r="O5" s="51">
        <v>4053</v>
      </c>
      <c r="P5" s="81">
        <v>4991</v>
      </c>
    </row>
    <row r="6" spans="1:16" ht="12.75">
      <c r="A6" s="53" t="s">
        <v>12</v>
      </c>
      <c r="B6" s="60">
        <f t="shared" si="0"/>
        <v>-0.9471520845566647</v>
      </c>
      <c r="C6" s="101">
        <f>E6-'[1]Germany'!E6</f>
        <v>-388</v>
      </c>
      <c r="D6" s="90">
        <f>F6-'[1]Germany'!F6</f>
        <v>-1800</v>
      </c>
      <c r="E6" s="56">
        <v>90</v>
      </c>
      <c r="F6" s="90">
        <v>1703</v>
      </c>
      <c r="G6" s="90">
        <v>320</v>
      </c>
      <c r="H6" s="90">
        <v>1086</v>
      </c>
      <c r="I6" s="90">
        <v>1284</v>
      </c>
      <c r="J6" s="90">
        <v>22</v>
      </c>
      <c r="K6" s="90">
        <v>222</v>
      </c>
      <c r="L6" s="90">
        <v>166</v>
      </c>
      <c r="M6" s="90">
        <v>135</v>
      </c>
      <c r="N6" s="90">
        <v>67</v>
      </c>
      <c r="O6" s="51">
        <v>94</v>
      </c>
      <c r="P6" s="81">
        <v>26</v>
      </c>
    </row>
    <row r="7" spans="1:16" ht="12.75">
      <c r="A7" s="53" t="s">
        <v>9</v>
      </c>
      <c r="B7" s="60">
        <f t="shared" si="0"/>
        <v>-0.8763652249890782</v>
      </c>
      <c r="C7" s="101">
        <f>E7-'[1]Germany'!E7</f>
        <v>-1887</v>
      </c>
      <c r="D7" s="90">
        <f>F7-'[1]Germany'!F7</f>
        <v>-3187</v>
      </c>
      <c r="E7" s="56">
        <v>283</v>
      </c>
      <c r="F7" s="90">
        <v>2289</v>
      </c>
      <c r="G7" s="90">
        <v>1711</v>
      </c>
      <c r="H7" s="90">
        <v>543</v>
      </c>
      <c r="I7" s="90">
        <v>1254</v>
      </c>
      <c r="J7" s="90">
        <v>954</v>
      </c>
      <c r="K7" s="90">
        <v>390</v>
      </c>
      <c r="L7" s="90">
        <v>263</v>
      </c>
      <c r="M7" s="90">
        <v>84</v>
      </c>
      <c r="N7" s="90">
        <v>539</v>
      </c>
      <c r="O7" s="51">
        <v>494</v>
      </c>
      <c r="P7" s="81">
        <v>387</v>
      </c>
    </row>
    <row r="8" spans="1:16" ht="12.75">
      <c r="A8" s="53" t="s">
        <v>14</v>
      </c>
      <c r="B8" s="60">
        <f t="shared" si="0"/>
        <v>-1</v>
      </c>
      <c r="C8" s="101">
        <f>E8-'[1]Germany'!E8</f>
        <v>0</v>
      </c>
      <c r="D8" s="90">
        <f>F8-'[1]Germany'!F8</f>
        <v>-201</v>
      </c>
      <c r="E8" s="56">
        <v>0</v>
      </c>
      <c r="F8" s="90">
        <v>165</v>
      </c>
      <c r="G8" s="90">
        <v>372</v>
      </c>
      <c r="H8" s="90">
        <v>446</v>
      </c>
      <c r="I8" s="90">
        <v>258</v>
      </c>
      <c r="J8" s="90">
        <v>33</v>
      </c>
      <c r="K8" s="90">
        <v>445</v>
      </c>
      <c r="L8" s="90">
        <v>930</v>
      </c>
      <c r="M8" s="90">
        <v>2067</v>
      </c>
      <c r="N8" s="90">
        <v>1272</v>
      </c>
      <c r="O8" s="51">
        <v>30</v>
      </c>
      <c r="P8" s="81">
        <v>2464</v>
      </c>
    </row>
    <row r="9" spans="1:16" ht="12.75">
      <c r="A9" s="53" t="s">
        <v>3</v>
      </c>
      <c r="B9" s="60">
        <f t="shared" si="0"/>
        <v>-0.9551784160139252</v>
      </c>
      <c r="C9" s="101">
        <f>E9-'[1]Germany'!E9</f>
        <v>-536</v>
      </c>
      <c r="D9" s="90">
        <f>F9-'[1]Germany'!F9</f>
        <v>-1468</v>
      </c>
      <c r="E9" s="56">
        <v>206</v>
      </c>
      <c r="F9" s="90">
        <v>4596</v>
      </c>
      <c r="G9" s="90">
        <v>3917</v>
      </c>
      <c r="H9" s="90">
        <v>3625</v>
      </c>
      <c r="I9" s="90">
        <v>4264</v>
      </c>
      <c r="J9" s="90">
        <v>4903</v>
      </c>
      <c r="K9" s="90">
        <v>7930</v>
      </c>
      <c r="L9" s="90">
        <v>5201</v>
      </c>
      <c r="M9" s="90">
        <v>6065</v>
      </c>
      <c r="N9" s="90">
        <v>9976</v>
      </c>
      <c r="O9" s="51">
        <v>4752</v>
      </c>
      <c r="P9" s="81">
        <v>5988</v>
      </c>
    </row>
    <row r="10" spans="1:16" ht="12.75">
      <c r="A10" s="53" t="s">
        <v>15</v>
      </c>
      <c r="B10" s="60"/>
      <c r="C10" s="101">
        <f>E10-'[1]Germany'!E10</f>
        <v>0</v>
      </c>
      <c r="D10" s="90">
        <f>F10-'[1]Germany'!F10</f>
        <v>0</v>
      </c>
      <c r="E10" s="56">
        <v>0</v>
      </c>
      <c r="F10" s="90">
        <v>0</v>
      </c>
      <c r="G10" s="90"/>
      <c r="H10" s="90">
        <v>0</v>
      </c>
      <c r="I10" s="90">
        <v>0</v>
      </c>
      <c r="J10" s="90">
        <v>0</v>
      </c>
      <c r="K10" s="90">
        <v>0</v>
      </c>
      <c r="L10" s="90">
        <v>30</v>
      </c>
      <c r="M10" s="90"/>
      <c r="N10" s="90"/>
      <c r="O10" s="51"/>
      <c r="P10" s="81"/>
    </row>
    <row r="11" spans="1:17" ht="12.75">
      <c r="A11" s="53" t="s">
        <v>10</v>
      </c>
      <c r="B11" s="60">
        <f t="shared" si="0"/>
        <v>-0.25030731407498463</v>
      </c>
      <c r="C11" s="101">
        <f>E11-'[1]Germany'!E11</f>
        <v>-1562</v>
      </c>
      <c r="D11" s="90">
        <f>F11-'[1]Germany'!F11</f>
        <v>-2145</v>
      </c>
      <c r="E11" s="56">
        <v>4879</v>
      </c>
      <c r="F11" s="90">
        <v>6508</v>
      </c>
      <c r="G11" s="90">
        <v>12309</v>
      </c>
      <c r="H11" s="90">
        <v>3973</v>
      </c>
      <c r="I11" s="90">
        <v>14228</v>
      </c>
      <c r="J11" s="90">
        <v>13989</v>
      </c>
      <c r="K11" s="90">
        <v>10754</v>
      </c>
      <c r="L11" s="90">
        <v>8439</v>
      </c>
      <c r="M11" s="90">
        <v>14681</v>
      </c>
      <c r="N11" s="90">
        <v>11954</v>
      </c>
      <c r="O11" s="51">
        <v>5243</v>
      </c>
      <c r="P11" s="81">
        <v>10228</v>
      </c>
      <c r="Q11" s="1"/>
    </row>
    <row r="12" spans="1:17" ht="12.75">
      <c r="A12" s="53" t="s">
        <v>100</v>
      </c>
      <c r="B12" s="60"/>
      <c r="C12" s="101">
        <f>E12-'[1]Germany'!E12</f>
        <v>0</v>
      </c>
      <c r="D12" s="90">
        <f>F12-'[1]Germany'!F12</f>
        <v>0</v>
      </c>
      <c r="E12" s="56"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51"/>
      <c r="P12" s="81"/>
      <c r="Q12" s="1"/>
    </row>
    <row r="13" spans="1:17" ht="12.75">
      <c r="A13" s="53" t="s">
        <v>27</v>
      </c>
      <c r="B13" s="60">
        <f t="shared" si="0"/>
        <v>-0.7604556074766355</v>
      </c>
      <c r="C13" s="101">
        <f>E13-'[1]Germany'!E13</f>
        <v>-1482</v>
      </c>
      <c r="D13" s="90">
        <f>F13-'[1]Germany'!F13</f>
        <v>-4203</v>
      </c>
      <c r="E13" s="56">
        <v>4101</v>
      </c>
      <c r="F13" s="90">
        <v>17120</v>
      </c>
      <c r="G13" s="90">
        <v>15416</v>
      </c>
      <c r="H13" s="90">
        <v>19390</v>
      </c>
      <c r="I13" s="90">
        <v>16308</v>
      </c>
      <c r="J13" s="90">
        <v>20984</v>
      </c>
      <c r="K13" s="90">
        <v>26156</v>
      </c>
      <c r="L13" s="90">
        <v>16494</v>
      </c>
      <c r="M13" s="90">
        <v>25474</v>
      </c>
      <c r="N13" s="90">
        <v>26102</v>
      </c>
      <c r="O13" s="51">
        <v>19987</v>
      </c>
      <c r="P13" s="81">
        <v>22091</v>
      </c>
      <c r="Q13" s="1"/>
    </row>
    <row r="14" spans="1:16" ht="12.75">
      <c r="A14" s="53" t="s">
        <v>26</v>
      </c>
      <c r="B14" s="60">
        <f t="shared" si="0"/>
        <v>-0.7477680640079083</v>
      </c>
      <c r="C14" s="101">
        <f>E14-'[1]Germany'!E14</f>
        <v>-5719</v>
      </c>
      <c r="D14" s="90">
        <f>F14-'[1]Germany'!F14</f>
        <v>-8591</v>
      </c>
      <c r="E14" s="56">
        <v>8165</v>
      </c>
      <c r="F14" s="90">
        <v>32371</v>
      </c>
      <c r="G14" s="90">
        <v>32556</v>
      </c>
      <c r="H14" s="90">
        <v>36592</v>
      </c>
      <c r="I14" s="90">
        <v>26925</v>
      </c>
      <c r="J14" s="90">
        <v>34435</v>
      </c>
      <c r="K14" s="90">
        <v>34646</v>
      </c>
      <c r="L14" s="90">
        <v>25314</v>
      </c>
      <c r="M14" s="90">
        <v>33490</v>
      </c>
      <c r="N14" s="90">
        <v>29994</v>
      </c>
      <c r="O14" s="51">
        <v>21156</v>
      </c>
      <c r="P14" s="81">
        <v>27642</v>
      </c>
    </row>
    <row r="15" spans="1:16" ht="12.75">
      <c r="A15" s="53" t="s">
        <v>13</v>
      </c>
      <c r="B15" s="60">
        <f t="shared" si="0"/>
        <v>-0.7582807570977917</v>
      </c>
      <c r="C15" s="101">
        <f>E15-'[1]Germany'!E15</f>
        <v>-1295</v>
      </c>
      <c r="D15" s="90">
        <f>F15-'[1]Germany'!F15</f>
        <v>-2098</v>
      </c>
      <c r="E15" s="56">
        <v>1226</v>
      </c>
      <c r="F15" s="90">
        <v>5072</v>
      </c>
      <c r="G15" s="90">
        <v>6123</v>
      </c>
      <c r="H15" s="90">
        <v>6427</v>
      </c>
      <c r="I15" s="90">
        <v>3616</v>
      </c>
      <c r="J15" s="90">
        <v>2784</v>
      </c>
      <c r="K15" s="90">
        <v>2679</v>
      </c>
      <c r="L15" s="90">
        <v>2171</v>
      </c>
      <c r="M15" s="90">
        <v>2241</v>
      </c>
      <c r="N15" s="90">
        <v>1515</v>
      </c>
      <c r="O15" s="51">
        <v>94</v>
      </c>
      <c r="P15" s="81">
        <v>397</v>
      </c>
    </row>
    <row r="16" spans="1:16" ht="12.75">
      <c r="A16" s="53" t="s">
        <v>135</v>
      </c>
      <c r="B16" s="60">
        <f t="shared" si="0"/>
        <v>-0.45060110765905714</v>
      </c>
      <c r="C16" s="101">
        <f>E16-'[1]Germany'!E16</f>
        <v>-7896</v>
      </c>
      <c r="D16" s="90">
        <f>F16-'[1]Germany'!F16</f>
        <v>-7239</v>
      </c>
      <c r="E16" s="56">
        <v>20336</v>
      </c>
      <c r="F16" s="90">
        <v>37015</v>
      </c>
      <c r="G16" s="90">
        <v>22485</v>
      </c>
      <c r="H16" s="90">
        <v>16280</v>
      </c>
      <c r="I16" s="90">
        <v>10256</v>
      </c>
      <c r="J16" s="90">
        <v>12669</v>
      </c>
      <c r="K16" s="90">
        <v>9733</v>
      </c>
      <c r="L16" s="90">
        <v>5164</v>
      </c>
      <c r="M16" s="90">
        <v>8667</v>
      </c>
      <c r="N16" s="90">
        <v>6244</v>
      </c>
      <c r="O16" s="51">
        <v>4412</v>
      </c>
      <c r="P16" s="81">
        <v>1039</v>
      </c>
    </row>
    <row r="17" spans="1:18" s="16" customFormat="1" ht="12.75">
      <c r="A17" s="53" t="s">
        <v>90</v>
      </c>
      <c r="B17" s="60">
        <f t="shared" si="0"/>
        <v>-0.7142857142857143</v>
      </c>
      <c r="C17" s="101">
        <f>E17-'[1]Germany'!E17</f>
        <v>-5</v>
      </c>
      <c r="D17" s="90">
        <f>F17-'[1]Germany'!F17</f>
        <v>-349</v>
      </c>
      <c r="E17" s="56">
        <v>2</v>
      </c>
      <c r="F17" s="90">
        <v>7</v>
      </c>
      <c r="G17" s="90">
        <v>111</v>
      </c>
      <c r="H17" s="90">
        <v>12</v>
      </c>
      <c r="I17" s="90">
        <v>4</v>
      </c>
      <c r="J17" s="90">
        <v>210</v>
      </c>
      <c r="K17" s="90">
        <v>244</v>
      </c>
      <c r="L17" s="90"/>
      <c r="M17" s="90">
        <v>7</v>
      </c>
      <c r="N17" s="90">
        <v>21</v>
      </c>
      <c r="O17" s="51">
        <v>3</v>
      </c>
      <c r="P17" s="81">
        <v>8</v>
      </c>
      <c r="R17"/>
    </row>
    <row r="18" spans="1:16" ht="12.75">
      <c r="A18" s="53" t="s">
        <v>97</v>
      </c>
      <c r="B18" s="60">
        <f t="shared" si="0"/>
        <v>-1</v>
      </c>
      <c r="C18" s="101">
        <f>E18-'[1]Germany'!E18</f>
        <v>-68</v>
      </c>
      <c r="D18" s="90">
        <f>F18-'[1]Germany'!F18</f>
        <v>-163</v>
      </c>
      <c r="E18" s="56">
        <v>0</v>
      </c>
      <c r="F18" s="90">
        <v>75</v>
      </c>
      <c r="G18" s="90">
        <v>177</v>
      </c>
      <c r="H18" s="90">
        <v>118</v>
      </c>
      <c r="I18" s="90">
        <v>171</v>
      </c>
      <c r="J18" s="90">
        <v>119</v>
      </c>
      <c r="K18" s="90">
        <v>110</v>
      </c>
      <c r="L18" s="90">
        <v>562</v>
      </c>
      <c r="M18" s="90">
        <v>532</v>
      </c>
      <c r="N18" s="90">
        <v>589</v>
      </c>
      <c r="O18" s="51">
        <v>46</v>
      </c>
      <c r="P18" s="81">
        <v>519</v>
      </c>
    </row>
    <row r="19" spans="1:16" ht="12.75">
      <c r="A19" s="53" t="s">
        <v>144</v>
      </c>
      <c r="B19" s="60">
        <f t="shared" si="0"/>
        <v>-0.682917752139933</v>
      </c>
      <c r="C19" s="101">
        <f>E19-'[1]Germany'!E19</f>
        <v>-2879</v>
      </c>
      <c r="D19" s="90">
        <f>F19-'[1]Germany'!F19</f>
        <v>-4315</v>
      </c>
      <c r="E19" s="56">
        <v>2556</v>
      </c>
      <c r="F19" s="90">
        <v>8061</v>
      </c>
      <c r="G19" s="90">
        <v>8177</v>
      </c>
      <c r="H19" s="90">
        <v>7759</v>
      </c>
      <c r="I19" s="90">
        <v>5705</v>
      </c>
      <c r="J19" s="90">
        <v>2977</v>
      </c>
      <c r="K19" s="90">
        <v>2456</v>
      </c>
      <c r="L19" s="90">
        <v>1276</v>
      </c>
      <c r="M19" s="90">
        <v>1613</v>
      </c>
      <c r="N19" s="90">
        <v>837</v>
      </c>
      <c r="O19" s="51">
        <v>951</v>
      </c>
      <c r="P19" s="81">
        <v>91</v>
      </c>
    </row>
    <row r="20" spans="1:16" ht="13.5" thickBot="1">
      <c r="A20" s="54" t="s">
        <v>6</v>
      </c>
      <c r="B20" s="61">
        <f t="shared" si="0"/>
        <v>-0.8963235294117647</v>
      </c>
      <c r="C20" s="101">
        <f>E20-'[1]Germany'!E20</f>
        <v>-113</v>
      </c>
      <c r="D20" s="90">
        <f>F20-'[1]Germany'!F20</f>
        <v>-487</v>
      </c>
      <c r="E20" s="56">
        <v>141</v>
      </c>
      <c r="F20" s="90">
        <v>1360</v>
      </c>
      <c r="G20" s="91">
        <v>897</v>
      </c>
      <c r="H20" s="91">
        <v>2104</v>
      </c>
      <c r="I20" s="91">
        <v>2095</v>
      </c>
      <c r="J20" s="91">
        <v>2625</v>
      </c>
      <c r="K20" s="91">
        <v>924</v>
      </c>
      <c r="L20" s="91">
        <v>1434</v>
      </c>
      <c r="M20" s="91">
        <v>1433</v>
      </c>
      <c r="N20" s="91">
        <v>1528</v>
      </c>
      <c r="O20" s="50">
        <v>961</v>
      </c>
      <c r="P20" s="82">
        <v>1325</v>
      </c>
    </row>
    <row r="21" spans="1:16" ht="13.5" thickBot="1">
      <c r="A21" s="55" t="s">
        <v>93</v>
      </c>
      <c r="B21" s="105">
        <f t="shared" si="0"/>
        <v>-0.6432793241496706</v>
      </c>
      <c r="C21" s="87">
        <f>E21-'[1]Germany'!E21</f>
        <v>-29643</v>
      </c>
      <c r="D21" s="123">
        <f>F21-'[1]Germany'!F21</f>
        <v>-51976</v>
      </c>
      <c r="E21" s="58">
        <f>SUM(E2:E20)</f>
        <v>45265</v>
      </c>
      <c r="F21" s="123">
        <f aca="true" t="shared" si="1" ref="F21:P21">SUM(F2:F20)</f>
        <v>126892</v>
      </c>
      <c r="G21" s="123">
        <f t="shared" si="1"/>
        <v>111865</v>
      </c>
      <c r="H21" s="123">
        <f t="shared" si="1"/>
        <v>114233</v>
      </c>
      <c r="I21" s="123">
        <f t="shared" si="1"/>
        <v>92405</v>
      </c>
      <c r="J21" s="123">
        <f t="shared" si="1"/>
        <v>100504</v>
      </c>
      <c r="K21" s="123">
        <f t="shared" si="1"/>
        <v>102789</v>
      </c>
      <c r="L21" s="123">
        <f t="shared" si="1"/>
        <v>73197</v>
      </c>
      <c r="M21" s="123">
        <f t="shared" si="1"/>
        <v>106501</v>
      </c>
      <c r="N21" s="123">
        <f t="shared" si="1"/>
        <v>95395</v>
      </c>
      <c r="O21" s="59">
        <f t="shared" si="1"/>
        <v>62503</v>
      </c>
      <c r="P21" s="43">
        <f t="shared" si="1"/>
        <v>78127</v>
      </c>
    </row>
    <row r="23" spans="2:16" ht="13.5" thickBot="1">
      <c r="B23" s="3"/>
      <c r="C23" s="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3"/>
      <c r="P23" s="3"/>
    </row>
    <row r="24" spans="1:16" s="68" customFormat="1" ht="13.5" thickBot="1">
      <c r="A24" s="67" t="s">
        <v>25</v>
      </c>
      <c r="B24" s="32" t="s">
        <v>176</v>
      </c>
      <c r="C24" s="62" t="s">
        <v>175</v>
      </c>
      <c r="D24" s="107" t="s">
        <v>168</v>
      </c>
      <c r="E24" s="147">
        <v>43221</v>
      </c>
      <c r="F24" s="33">
        <v>42856</v>
      </c>
      <c r="G24" s="33">
        <v>42491</v>
      </c>
      <c r="H24" s="33">
        <v>42125</v>
      </c>
      <c r="I24" s="33">
        <v>41760</v>
      </c>
      <c r="J24" s="33">
        <v>41395</v>
      </c>
      <c r="K24" s="33">
        <v>41030</v>
      </c>
      <c r="L24" s="33">
        <v>40664</v>
      </c>
      <c r="M24" s="33">
        <v>40299</v>
      </c>
      <c r="N24" s="33">
        <v>39934</v>
      </c>
      <c r="O24" s="33">
        <v>39569</v>
      </c>
      <c r="P24" s="34">
        <v>39203</v>
      </c>
    </row>
    <row r="25" spans="1:16" s="66" customFormat="1" ht="13.5" thickBot="1">
      <c r="A25" s="73" t="s">
        <v>6</v>
      </c>
      <c r="B25" s="127">
        <f>(E25-F25)/F25</f>
        <v>-1</v>
      </c>
      <c r="C25" s="100">
        <f>E25-'[1]Germany'!E25</f>
        <v>-393</v>
      </c>
      <c r="D25" s="96">
        <f>F25-'[1]Germany'!F25</f>
        <v>-28</v>
      </c>
      <c r="E25" s="75">
        <v>0</v>
      </c>
      <c r="F25" s="96">
        <v>25</v>
      </c>
      <c r="G25" s="96">
        <v>20</v>
      </c>
      <c r="H25" s="96">
        <v>427</v>
      </c>
      <c r="I25" s="96">
        <v>234</v>
      </c>
      <c r="J25" s="96">
        <v>23</v>
      </c>
      <c r="K25" s="96">
        <v>189</v>
      </c>
      <c r="L25" s="96">
        <v>1</v>
      </c>
      <c r="M25" s="96">
        <v>113</v>
      </c>
      <c r="N25" s="96">
        <v>0</v>
      </c>
      <c r="O25" s="76">
        <v>151</v>
      </c>
      <c r="P25" s="84">
        <v>24</v>
      </c>
    </row>
    <row r="26" spans="1:16" s="66" customFormat="1" ht="13.5" thickBot="1">
      <c r="A26" s="77" t="s">
        <v>93</v>
      </c>
      <c r="B26" s="78">
        <f>(E26-F26)/F26</f>
        <v>-1</v>
      </c>
      <c r="C26" s="116">
        <f>E26-'[1]Germany'!E26</f>
        <v>-393</v>
      </c>
      <c r="D26" s="113">
        <f>F26-'[1]Germany'!F26</f>
        <v>-28</v>
      </c>
      <c r="E26" s="79">
        <v>0</v>
      </c>
      <c r="F26" s="113">
        <f>SUM(F25)</f>
        <v>25</v>
      </c>
      <c r="G26" s="113">
        <f>SUM(G25)</f>
        <v>20</v>
      </c>
      <c r="H26" s="113">
        <f>SUM(H25)</f>
        <v>427</v>
      </c>
      <c r="I26" s="113">
        <f>SUM(I25)</f>
        <v>234</v>
      </c>
      <c r="J26" s="113">
        <f>SUM(J25)</f>
        <v>23</v>
      </c>
      <c r="K26" s="113">
        <f aca="true" t="shared" si="2" ref="K26:P26">SUM(K25)</f>
        <v>189</v>
      </c>
      <c r="L26" s="113">
        <f t="shared" si="2"/>
        <v>1</v>
      </c>
      <c r="M26" s="113">
        <f t="shared" si="2"/>
        <v>113</v>
      </c>
      <c r="N26" s="113">
        <f t="shared" si="2"/>
        <v>0</v>
      </c>
      <c r="O26" s="80">
        <f t="shared" si="2"/>
        <v>151</v>
      </c>
      <c r="P26" s="85">
        <f t="shared" si="2"/>
        <v>24</v>
      </c>
    </row>
    <row r="27" spans="4:14" s="66" customFormat="1" ht="12.75"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s="66" customFormat="1" ht="12.75">
      <c r="A28" s="68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4:14" s="66" customFormat="1" ht="12.75"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20</v>
      </c>
      <c r="B2" s="35"/>
      <c r="C2" s="63">
        <f>E2-'[1]Italy'!E2</f>
        <v>0</v>
      </c>
      <c r="D2" s="13">
        <f>F2-'[1]Italy'!F2</f>
        <v>0</v>
      </c>
      <c r="E2" s="148">
        <v>0</v>
      </c>
      <c r="F2" s="13">
        <v>0</v>
      </c>
      <c r="G2" s="13">
        <v>0</v>
      </c>
      <c r="H2" s="13">
        <v>0</v>
      </c>
      <c r="I2" s="13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112</v>
      </c>
    </row>
    <row r="3" spans="1:16" ht="12.75">
      <c r="A3" s="27" t="s">
        <v>11</v>
      </c>
      <c r="B3" s="35">
        <f>(E3-F3)/F3</f>
        <v>-0.659185435832364</v>
      </c>
      <c r="C3" s="63">
        <f>E3-'[1]Italy'!E3</f>
        <v>-10920.6</v>
      </c>
      <c r="D3" s="13">
        <f>F3-'[1]Italy'!F3</f>
        <v>-11558.3</v>
      </c>
      <c r="E3" s="148">
        <v>7735.4</v>
      </c>
      <c r="F3" s="13">
        <v>22696.8</v>
      </c>
      <c r="G3" s="13">
        <v>19631.7</v>
      </c>
      <c r="H3" s="13">
        <v>20398</v>
      </c>
      <c r="I3" s="13">
        <v>24962</v>
      </c>
      <c r="J3" s="13">
        <v>10309</v>
      </c>
      <c r="K3" s="13">
        <v>23796</v>
      </c>
      <c r="L3" s="13">
        <v>22640</v>
      </c>
      <c r="M3" s="13">
        <v>25947.2</v>
      </c>
      <c r="N3" s="13">
        <v>14388</v>
      </c>
      <c r="O3" s="13">
        <v>10496</v>
      </c>
      <c r="P3" s="37">
        <v>9809.5</v>
      </c>
    </row>
    <row r="4" spans="1:16" ht="12.75" customHeight="1">
      <c r="A4" s="27" t="s">
        <v>61</v>
      </c>
      <c r="B4" s="35">
        <f>(E4-F4)/F4</f>
        <v>-0.624518260231235</v>
      </c>
      <c r="C4" s="63">
        <f>E4-'[1]Italy'!E4</f>
        <v>-14289.4</v>
      </c>
      <c r="D4" s="13">
        <f>F4-'[1]Italy'!F4</f>
        <v>-17066.5</v>
      </c>
      <c r="E4" s="148">
        <v>5319.6</v>
      </c>
      <c r="F4" s="13">
        <v>14167.4</v>
      </c>
      <c r="G4" s="13">
        <v>7146</v>
      </c>
      <c r="H4" s="13">
        <v>20866</v>
      </c>
      <c r="I4" s="13">
        <v>5378</v>
      </c>
      <c r="J4" s="13">
        <v>610</v>
      </c>
      <c r="K4" s="13">
        <v>11153</v>
      </c>
      <c r="L4" s="13">
        <v>2999</v>
      </c>
      <c r="M4" s="135"/>
      <c r="N4" s="135"/>
      <c r="O4" s="135"/>
      <c r="P4" s="103"/>
    </row>
    <row r="5" spans="1:16" ht="12.75">
      <c r="A5" s="27" t="s">
        <v>2</v>
      </c>
      <c r="B5" s="35"/>
      <c r="C5" s="63">
        <f>E5-'[1]Italy'!E5</f>
        <v>0</v>
      </c>
      <c r="D5" s="13">
        <f>F5-'[1]Italy'!F5</f>
        <v>0</v>
      </c>
      <c r="E5" s="148">
        <v>0</v>
      </c>
      <c r="F5" s="13">
        <v>0</v>
      </c>
      <c r="G5" s="13">
        <v>2</v>
      </c>
      <c r="H5" s="13">
        <v>0</v>
      </c>
      <c r="I5" s="13">
        <v>2</v>
      </c>
      <c r="J5" s="13">
        <v>0</v>
      </c>
      <c r="K5" s="13">
        <v>0</v>
      </c>
      <c r="L5" s="13">
        <v>0</v>
      </c>
      <c r="M5" s="13">
        <v>6</v>
      </c>
      <c r="N5" s="13">
        <v>0</v>
      </c>
      <c r="O5" s="13">
        <v>0</v>
      </c>
      <c r="P5" s="37">
        <v>0</v>
      </c>
    </row>
    <row r="6" spans="1:16" ht="12.75">
      <c r="A6" s="27" t="s">
        <v>12</v>
      </c>
      <c r="B6" s="35">
        <f aca="true" t="shared" si="0" ref="B6:B19">(E6-F6)/F6</f>
        <v>-0.28885830384614897</v>
      </c>
      <c r="C6" s="63">
        <f>E6-'[1]Italy'!E6</f>
        <v>-18594.4</v>
      </c>
      <c r="D6" s="13">
        <f>F6-'[1]Italy'!F6</f>
        <v>-17433.839999999997</v>
      </c>
      <c r="E6" s="148">
        <v>16823.6</v>
      </c>
      <c r="F6" s="13">
        <v>23657.17</v>
      </c>
      <c r="G6" s="13">
        <v>39140</v>
      </c>
      <c r="H6" s="13">
        <v>26389</v>
      </c>
      <c r="I6" s="13">
        <v>36471</v>
      </c>
      <c r="J6" s="13">
        <v>11880</v>
      </c>
      <c r="K6" s="13">
        <v>21516</v>
      </c>
      <c r="L6" s="13">
        <v>31444</v>
      </c>
      <c r="M6" s="13">
        <v>19263.92</v>
      </c>
      <c r="N6" s="13">
        <v>14851.6</v>
      </c>
      <c r="O6" s="13">
        <v>14080.7</v>
      </c>
      <c r="P6" s="37">
        <v>11291.9</v>
      </c>
    </row>
    <row r="7" spans="1:16" ht="12.75">
      <c r="A7" s="27" t="s">
        <v>9</v>
      </c>
      <c r="B7" s="35">
        <f t="shared" si="0"/>
        <v>-0.9543535318954696</v>
      </c>
      <c r="C7" s="63">
        <f>E7-'[1]Italy'!E7</f>
        <v>-444</v>
      </c>
      <c r="D7" s="13">
        <f>F7-'[1]Italy'!F7</f>
        <v>-8789.31</v>
      </c>
      <c r="E7" s="148">
        <v>80</v>
      </c>
      <c r="F7" s="13">
        <v>1752.6</v>
      </c>
      <c r="G7" s="13">
        <v>21</v>
      </c>
      <c r="H7" s="13">
        <v>1865</v>
      </c>
      <c r="I7" s="13">
        <v>731</v>
      </c>
      <c r="J7" s="13">
        <v>1</v>
      </c>
      <c r="K7" s="13">
        <v>142</v>
      </c>
      <c r="L7" s="13">
        <v>626</v>
      </c>
      <c r="M7" s="13">
        <v>118</v>
      </c>
      <c r="N7" s="13">
        <v>271</v>
      </c>
      <c r="O7" s="13">
        <v>76</v>
      </c>
      <c r="P7" s="37">
        <v>47.4</v>
      </c>
    </row>
    <row r="8" spans="1:16" ht="12.75">
      <c r="A8" s="27" t="s">
        <v>14</v>
      </c>
      <c r="B8" s="35"/>
      <c r="C8" s="63">
        <f>E8-'[1]Italy'!E8</f>
        <v>0</v>
      </c>
      <c r="D8" s="13">
        <f>F8-'[1]Italy'!F8</f>
        <v>0</v>
      </c>
      <c r="E8" s="148">
        <v>0</v>
      </c>
      <c r="F8" s="13">
        <v>0</v>
      </c>
      <c r="G8" s="13">
        <v>3</v>
      </c>
      <c r="H8" s="13">
        <v>5</v>
      </c>
      <c r="I8" s="13">
        <v>11</v>
      </c>
      <c r="J8" s="13"/>
      <c r="K8" s="13">
        <v>34</v>
      </c>
      <c r="L8" s="13">
        <v>0</v>
      </c>
      <c r="M8" s="13">
        <v>52.97</v>
      </c>
      <c r="N8" s="13">
        <v>119.5</v>
      </c>
      <c r="O8" s="13">
        <v>67</v>
      </c>
      <c r="P8" s="37">
        <v>53.5</v>
      </c>
    </row>
    <row r="9" spans="1:16" ht="12.75">
      <c r="A9" s="29" t="s">
        <v>3</v>
      </c>
      <c r="B9" s="35">
        <f t="shared" si="0"/>
        <v>-0.6668711119161292</v>
      </c>
      <c r="C9" s="63">
        <f>E9-'[1]Italy'!E9</f>
        <v>-52350.37000000001</v>
      </c>
      <c r="D9" s="13">
        <f>F9-'[1]Italy'!F9</f>
        <v>-90694.93</v>
      </c>
      <c r="E9" s="148">
        <v>100345.62999999999</v>
      </c>
      <c r="F9" s="108">
        <v>301221.64</v>
      </c>
      <c r="G9" s="108">
        <v>289925</v>
      </c>
      <c r="H9" s="108">
        <v>289944</v>
      </c>
      <c r="I9" s="108">
        <v>248468</v>
      </c>
      <c r="J9" s="108">
        <v>215551</v>
      </c>
      <c r="K9" s="108">
        <v>260035</v>
      </c>
      <c r="L9" s="108">
        <v>250206</v>
      </c>
      <c r="M9" s="108">
        <v>251278.64</v>
      </c>
      <c r="N9" s="108">
        <v>290527.6</v>
      </c>
      <c r="O9" s="13">
        <v>206693.7</v>
      </c>
      <c r="P9" s="37">
        <v>222731.6</v>
      </c>
    </row>
    <row r="10" spans="1:16" ht="12.75">
      <c r="A10" s="29" t="s">
        <v>17</v>
      </c>
      <c r="B10" s="35">
        <f t="shared" si="0"/>
        <v>0.2144685701659008</v>
      </c>
      <c r="C10" s="63">
        <f>E10-'[1]Italy'!E10</f>
        <v>-13651.2</v>
      </c>
      <c r="D10" s="13">
        <f>F10-'[1]Italy'!F10</f>
        <v>-14740.260000000002</v>
      </c>
      <c r="E10" s="148">
        <v>27370.8</v>
      </c>
      <c r="F10" s="108">
        <v>22537.265</v>
      </c>
      <c r="G10" s="108">
        <v>32256.175</v>
      </c>
      <c r="H10" s="108">
        <v>25117</v>
      </c>
      <c r="I10" s="108">
        <v>22884</v>
      </c>
      <c r="J10" s="108">
        <v>5994</v>
      </c>
      <c r="K10" s="108">
        <v>17381</v>
      </c>
      <c r="L10" s="108">
        <v>12774</v>
      </c>
      <c r="M10" s="108">
        <v>8648.04</v>
      </c>
      <c r="N10" s="108">
        <v>10379</v>
      </c>
      <c r="O10" s="13">
        <v>1770</v>
      </c>
      <c r="P10" s="37">
        <v>4104.9</v>
      </c>
    </row>
    <row r="11" spans="1:16" ht="12.75">
      <c r="A11" s="29" t="s">
        <v>10</v>
      </c>
      <c r="B11" s="35">
        <f t="shared" si="0"/>
        <v>-0.3945841392649903</v>
      </c>
      <c r="C11" s="63">
        <f>E11-'[1]Italy'!E11</f>
        <v>-271</v>
      </c>
      <c r="D11" s="13">
        <f>F11-'[1]Italy'!F11</f>
        <v>-49</v>
      </c>
      <c r="E11" s="148">
        <v>313</v>
      </c>
      <c r="F11" s="108">
        <v>517</v>
      </c>
      <c r="G11" s="108">
        <v>792.6</v>
      </c>
      <c r="H11" s="108">
        <v>450</v>
      </c>
      <c r="I11" s="108">
        <v>2018</v>
      </c>
      <c r="J11" s="108">
        <v>1720</v>
      </c>
      <c r="K11" s="108">
        <v>1929</v>
      </c>
      <c r="L11" s="108">
        <v>438</v>
      </c>
      <c r="M11" s="108">
        <v>2634.06</v>
      </c>
      <c r="N11" s="108">
        <v>2993</v>
      </c>
      <c r="O11" s="13">
        <v>2465</v>
      </c>
      <c r="P11" s="37">
        <v>2680.8</v>
      </c>
    </row>
    <row r="12" spans="1:16" ht="12.75">
      <c r="A12" s="29" t="s">
        <v>27</v>
      </c>
      <c r="B12" s="35">
        <f t="shared" si="0"/>
        <v>-0.25673758865248225</v>
      </c>
      <c r="C12" s="63">
        <f>E12-'[1]Italy'!E12</f>
        <v>-380</v>
      </c>
      <c r="D12" s="13">
        <f>F12-'[1]Italy'!F12</f>
        <v>-390.3000000000002</v>
      </c>
      <c r="E12" s="148">
        <v>2620</v>
      </c>
      <c r="F12" s="108">
        <v>3525</v>
      </c>
      <c r="G12" s="108">
        <v>6764.5</v>
      </c>
      <c r="H12" s="108">
        <v>6312</v>
      </c>
      <c r="I12" s="108">
        <v>8958</v>
      </c>
      <c r="J12" s="108">
        <v>5139</v>
      </c>
      <c r="K12" s="108">
        <v>8337</v>
      </c>
      <c r="L12" s="108">
        <v>834</v>
      </c>
      <c r="M12" s="108">
        <v>10835.89</v>
      </c>
      <c r="N12" s="108">
        <v>11587</v>
      </c>
      <c r="O12" s="13">
        <v>9596</v>
      </c>
      <c r="P12" s="37">
        <v>8381.6</v>
      </c>
    </row>
    <row r="13" spans="1:16" ht="12.75">
      <c r="A13" s="29" t="s">
        <v>50</v>
      </c>
      <c r="B13" s="35"/>
      <c r="C13" s="63">
        <f>E13-'[1]Italy'!E13</f>
        <v>0</v>
      </c>
      <c r="D13" s="13">
        <f>F13-'[1]Italy'!F13</f>
        <v>0</v>
      </c>
      <c r="E13" s="148">
        <v>0</v>
      </c>
      <c r="F13" s="108">
        <v>0</v>
      </c>
      <c r="G13" s="108">
        <v>0</v>
      </c>
      <c r="H13" s="108">
        <v>5</v>
      </c>
      <c r="I13" s="108"/>
      <c r="J13" s="108">
        <v>0</v>
      </c>
      <c r="K13" s="108">
        <v>0</v>
      </c>
      <c r="L13" s="108">
        <v>0</v>
      </c>
      <c r="M13" s="108">
        <v>2</v>
      </c>
      <c r="N13" s="108">
        <v>0</v>
      </c>
      <c r="O13" s="13">
        <v>0</v>
      </c>
      <c r="P13" s="37">
        <v>5</v>
      </c>
    </row>
    <row r="14" spans="1:16" ht="12.75">
      <c r="A14" s="29" t="s">
        <v>106</v>
      </c>
      <c r="B14" s="35">
        <f t="shared" si="0"/>
        <v>-0.8353179495275413</v>
      </c>
      <c r="C14" s="63">
        <f>E14-'[1]Italy'!E14</f>
        <v>-1695.6</v>
      </c>
      <c r="D14" s="13">
        <f>F14-'[1]Italy'!F14</f>
        <v>-2697.9000000000005</v>
      </c>
      <c r="E14" s="148">
        <v>928.4</v>
      </c>
      <c r="F14" s="108">
        <v>5637.53</v>
      </c>
      <c r="G14" s="108">
        <v>6947.24</v>
      </c>
      <c r="H14" s="108">
        <v>9321</v>
      </c>
      <c r="I14" s="108">
        <v>7561</v>
      </c>
      <c r="J14" s="108">
        <v>6315</v>
      </c>
      <c r="K14" s="108">
        <v>4126</v>
      </c>
      <c r="L14" s="108">
        <v>8511</v>
      </c>
      <c r="M14" s="108">
        <v>5431.25</v>
      </c>
      <c r="N14" s="108">
        <v>14997.7</v>
      </c>
      <c r="O14" s="13">
        <v>5872</v>
      </c>
      <c r="P14" s="37">
        <v>11684.1</v>
      </c>
    </row>
    <row r="15" spans="1:16" ht="12.75">
      <c r="A15" s="29" t="s">
        <v>19</v>
      </c>
      <c r="B15" s="35">
        <f t="shared" si="0"/>
        <v>-0.5428631161183833</v>
      </c>
      <c r="C15" s="63">
        <f>E15-'[1]Italy'!E15</f>
        <v>-16611.389999999996</v>
      </c>
      <c r="D15" s="13">
        <f>F15-'[1]Italy'!F15</f>
        <v>-22377.749999999993</v>
      </c>
      <c r="E15" s="148">
        <v>19788.610000000004</v>
      </c>
      <c r="F15" s="108">
        <v>43288.15</v>
      </c>
      <c r="G15" s="108">
        <v>38903.79</v>
      </c>
      <c r="H15" s="108">
        <v>32559</v>
      </c>
      <c r="I15" s="108">
        <v>38044</v>
      </c>
      <c r="J15" s="108">
        <v>22448</v>
      </c>
      <c r="K15" s="108">
        <v>24132</v>
      </c>
      <c r="L15" s="108">
        <v>22374</v>
      </c>
      <c r="M15" s="108">
        <v>36049.66</v>
      </c>
      <c r="N15" s="108">
        <v>25369.5</v>
      </c>
      <c r="O15" s="13">
        <v>10959.2</v>
      </c>
      <c r="P15" s="37">
        <v>36157.3</v>
      </c>
    </row>
    <row r="16" spans="1:16" ht="12.75">
      <c r="A16" s="29" t="s">
        <v>107</v>
      </c>
      <c r="B16" s="35">
        <f t="shared" si="0"/>
        <v>-1</v>
      </c>
      <c r="C16" s="63">
        <f>E16-'[1]Italy'!E16</f>
        <v>0</v>
      </c>
      <c r="D16" s="13">
        <f>F16-'[1]Italy'!F16</f>
        <v>-3042.0999999999995</v>
      </c>
      <c r="E16" s="148">
        <v>0</v>
      </c>
      <c r="F16" s="108">
        <v>5628.3</v>
      </c>
      <c r="G16" s="108">
        <v>5299</v>
      </c>
      <c r="H16" s="108">
        <v>5056</v>
      </c>
      <c r="I16" s="108">
        <v>3287</v>
      </c>
      <c r="J16" s="108">
        <v>765</v>
      </c>
      <c r="K16" s="108">
        <v>1828</v>
      </c>
      <c r="L16" s="108">
        <v>2135</v>
      </c>
      <c r="M16" s="108">
        <v>1665</v>
      </c>
      <c r="N16" s="108">
        <v>199</v>
      </c>
      <c r="O16" s="13">
        <v>1486</v>
      </c>
      <c r="P16" s="37">
        <v>0</v>
      </c>
    </row>
    <row r="17" spans="1:16" ht="12.75">
      <c r="A17" s="29" t="s">
        <v>21</v>
      </c>
      <c r="B17" s="35">
        <f t="shared" si="0"/>
        <v>-0.9177733917639581</v>
      </c>
      <c r="C17" s="63">
        <f>E17-'[1]Italy'!E17</f>
        <v>-425.2</v>
      </c>
      <c r="D17" s="13">
        <f>F17-'[1]Italy'!F17</f>
        <v>-1421.0999999999995</v>
      </c>
      <c r="E17" s="148">
        <v>245.8</v>
      </c>
      <c r="F17" s="108">
        <v>2989.3</v>
      </c>
      <c r="G17" s="108">
        <v>4465.6</v>
      </c>
      <c r="H17" s="108">
        <v>3756</v>
      </c>
      <c r="I17" s="108">
        <v>2792</v>
      </c>
      <c r="J17" s="108">
        <v>42</v>
      </c>
      <c r="K17" s="108">
        <v>3072</v>
      </c>
      <c r="L17" s="108">
        <v>3639</v>
      </c>
      <c r="M17" s="108">
        <v>1223.69</v>
      </c>
      <c r="N17" s="108">
        <v>2334</v>
      </c>
      <c r="O17" s="13">
        <v>211</v>
      </c>
      <c r="P17" s="37">
        <v>3534.3</v>
      </c>
    </row>
    <row r="18" spans="1:16" ht="13.5" thickBot="1">
      <c r="A18" s="30" t="s">
        <v>59</v>
      </c>
      <c r="B18" s="36">
        <f t="shared" si="0"/>
        <v>-0.8142065570062891</v>
      </c>
      <c r="C18" s="64">
        <f>E18-'[1]Italy'!E18</f>
        <v>-11137.2</v>
      </c>
      <c r="D18" s="15">
        <f>F18-'[1]Italy'!F18</f>
        <v>-12904.999999999996</v>
      </c>
      <c r="E18" s="149">
        <v>4271.799999999999</v>
      </c>
      <c r="F18" s="109">
        <v>22992.2</v>
      </c>
      <c r="G18" s="109">
        <v>14523.5</v>
      </c>
      <c r="H18" s="109">
        <v>13667</v>
      </c>
      <c r="I18" s="109">
        <v>10455</v>
      </c>
      <c r="J18" s="109">
        <v>2563</v>
      </c>
      <c r="K18" s="109">
        <v>6329</v>
      </c>
      <c r="L18" s="109">
        <v>13296</v>
      </c>
      <c r="M18" s="109">
        <v>11584</v>
      </c>
      <c r="N18" s="109">
        <v>6291</v>
      </c>
      <c r="O18" s="15">
        <v>3369</v>
      </c>
      <c r="P18" s="39">
        <v>4856.6</v>
      </c>
    </row>
    <row r="19" spans="1:16" ht="13.5" thickBot="1">
      <c r="A19" s="45" t="s">
        <v>23</v>
      </c>
      <c r="B19" s="41">
        <f t="shared" si="0"/>
        <v>-0.6051029518889359</v>
      </c>
      <c r="C19" s="65">
        <f>E19-'[1]Italy'!E19</f>
        <v>-140770.36000000004</v>
      </c>
      <c r="D19" s="42">
        <f>F19-'[1]Italy'!F19</f>
        <v>-203166.2900000001</v>
      </c>
      <c r="E19" s="137">
        <f aca="true" t="shared" si="1" ref="E19:J19">SUM(E2:E18)</f>
        <v>185842.63999999996</v>
      </c>
      <c r="F19" s="42">
        <f t="shared" si="1"/>
        <v>470610.35500000004</v>
      </c>
      <c r="G19" s="42">
        <f t="shared" si="1"/>
        <v>465821.1049999999</v>
      </c>
      <c r="H19" s="42">
        <f t="shared" si="1"/>
        <v>455710</v>
      </c>
      <c r="I19" s="42">
        <f t="shared" si="1"/>
        <v>412022</v>
      </c>
      <c r="J19" s="42">
        <f t="shared" si="1"/>
        <v>283337</v>
      </c>
      <c r="K19" s="42">
        <f aca="true" t="shared" si="2" ref="K19:P19">SUM(K2:K18)</f>
        <v>383810</v>
      </c>
      <c r="L19" s="42">
        <f t="shared" si="2"/>
        <v>371916</v>
      </c>
      <c r="M19" s="42">
        <f t="shared" si="2"/>
        <v>374740.32</v>
      </c>
      <c r="N19" s="42">
        <f t="shared" si="2"/>
        <v>394307.89999999997</v>
      </c>
      <c r="O19" s="42">
        <f t="shared" si="2"/>
        <v>267141.60000000003</v>
      </c>
      <c r="P19" s="43">
        <f t="shared" si="2"/>
        <v>315450.49999999994</v>
      </c>
    </row>
    <row r="20" spans="2:14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146</v>
      </c>
      <c r="B22" s="32" t="s">
        <v>176</v>
      </c>
      <c r="C22" s="62" t="s">
        <v>175</v>
      </c>
      <c r="D22" s="107" t="s">
        <v>168</v>
      </c>
      <c r="E22" s="147">
        <v>43221</v>
      </c>
      <c r="F22" s="33">
        <v>42856</v>
      </c>
      <c r="G22" s="33">
        <v>42491</v>
      </c>
      <c r="H22" s="33">
        <v>42125</v>
      </c>
      <c r="I22" s="33">
        <v>41760</v>
      </c>
      <c r="J22" s="33">
        <v>41395</v>
      </c>
      <c r="K22" s="33">
        <v>41030</v>
      </c>
      <c r="L22" s="33">
        <v>40664</v>
      </c>
      <c r="M22" s="33">
        <v>40299</v>
      </c>
      <c r="N22" s="33">
        <v>39934</v>
      </c>
      <c r="O22" s="33">
        <v>39569</v>
      </c>
      <c r="P22" s="34">
        <v>39203</v>
      </c>
    </row>
    <row r="23" spans="1:16" ht="12.75">
      <c r="A23" s="27" t="s">
        <v>104</v>
      </c>
      <c r="B23" s="35">
        <f aca="true" t="shared" si="3" ref="B23:B28">(E23-F23)/F23</f>
        <v>2.795707834656946</v>
      </c>
      <c r="C23" s="63">
        <f>E23-'[1]Italy'!E23</f>
        <v>-19576.769624504923</v>
      </c>
      <c r="D23" s="13">
        <f>F23-'[1]Italy'!F23</f>
        <v>-16732.792365849593</v>
      </c>
      <c r="E23" s="148">
        <v>14445.025666480678</v>
      </c>
      <c r="F23" s="13">
        <v>3805.6210582356935</v>
      </c>
      <c r="G23" s="13">
        <v>4733.755303077311</v>
      </c>
      <c r="H23" s="13">
        <v>764.8005141255638</v>
      </c>
      <c r="I23" s="13">
        <v>1821.1655840767778</v>
      </c>
      <c r="J23" s="13">
        <v>0</v>
      </c>
      <c r="K23" s="13"/>
      <c r="L23" s="13">
        <v>463</v>
      </c>
      <c r="M23" s="13"/>
      <c r="N23" s="13"/>
      <c r="O23" s="13">
        <v>1064</v>
      </c>
      <c r="P23" s="37">
        <v>277</v>
      </c>
    </row>
    <row r="24" spans="1:16" ht="12.75">
      <c r="A24" s="27" t="s">
        <v>7</v>
      </c>
      <c r="B24" s="35">
        <f t="shared" si="3"/>
        <v>2.9498578114691014</v>
      </c>
      <c r="C24" s="63">
        <f>E24-'[1]Italy'!E24</f>
        <v>-5793.175444615723</v>
      </c>
      <c r="D24" s="13">
        <f>F24-'[1]Italy'!F24</f>
        <v>-7859.643170172129</v>
      </c>
      <c r="E24" s="148">
        <v>9960.185402510857</v>
      </c>
      <c r="F24" s="13">
        <v>2521.6566970055783</v>
      </c>
      <c r="G24" s="13">
        <v>15849.63778829697</v>
      </c>
      <c r="H24" s="13">
        <v>6456.244132701641</v>
      </c>
      <c r="I24" s="13">
        <v>17756.830140004167</v>
      </c>
      <c r="J24" s="13">
        <v>5690</v>
      </c>
      <c r="K24" s="13">
        <v>27832.41228953519</v>
      </c>
      <c r="L24" s="13">
        <v>9347.139545706454</v>
      </c>
      <c r="M24" s="13">
        <v>20258</v>
      </c>
      <c r="N24" s="13">
        <v>14541</v>
      </c>
      <c r="O24" s="13">
        <v>12963</v>
      </c>
      <c r="P24" s="37">
        <v>20209</v>
      </c>
    </row>
    <row r="25" spans="1:16" ht="12.75">
      <c r="A25" s="27" t="s">
        <v>105</v>
      </c>
      <c r="B25" s="35">
        <f t="shared" si="3"/>
        <v>0.17300004985633918</v>
      </c>
      <c r="C25" s="63">
        <f>E25-'[1]Italy'!E25</f>
        <v>-50.74509444654052</v>
      </c>
      <c r="D25" s="13">
        <f>F25-'[1]Italy'!F25</f>
        <v>-68.80221208657424</v>
      </c>
      <c r="E25" s="148">
        <v>24.019344704695836</v>
      </c>
      <c r="F25" s="13">
        <v>20.476848835289953</v>
      </c>
      <c r="G25" s="13">
        <v>38.579321044478284</v>
      </c>
      <c r="H25" s="13">
        <v>225</v>
      </c>
      <c r="I25" s="13">
        <v>87</v>
      </c>
      <c r="J25" s="13">
        <v>0</v>
      </c>
      <c r="K25" s="13"/>
      <c r="L25" s="13">
        <v>6</v>
      </c>
      <c r="M25" s="13"/>
      <c r="N25" s="13"/>
      <c r="O25" s="13">
        <v>623</v>
      </c>
      <c r="P25" s="37">
        <v>741</v>
      </c>
    </row>
    <row r="26" spans="1:16" ht="12.75">
      <c r="A26" s="27" t="s">
        <v>30</v>
      </c>
      <c r="B26" s="35">
        <f t="shared" si="3"/>
        <v>3.2515096295931536</v>
      </c>
      <c r="C26" s="63">
        <f>E26-'[1]Italy'!E26</f>
        <v>-3055.633358301861</v>
      </c>
      <c r="D26" s="13">
        <f>F26-'[1]Italy'!F26</f>
        <v>-2464.78129385128</v>
      </c>
      <c r="E26" s="148">
        <v>2259.0144468612793</v>
      </c>
      <c r="F26" s="13">
        <v>531.3440739113308</v>
      </c>
      <c r="G26" s="13">
        <v>1411.3845740371353</v>
      </c>
      <c r="H26" s="13">
        <v>456.1163015462021</v>
      </c>
      <c r="I26" s="13">
        <v>3460.509660080935</v>
      </c>
      <c r="J26" s="13">
        <v>62</v>
      </c>
      <c r="K26" s="13"/>
      <c r="L26" s="13">
        <v>110.2569410366679</v>
      </c>
      <c r="M26" s="13"/>
      <c r="N26" s="13"/>
      <c r="O26" s="13">
        <v>282</v>
      </c>
      <c r="P26" s="37">
        <v>473</v>
      </c>
    </row>
    <row r="27" spans="1:16" ht="13.5" thickBot="1">
      <c r="A27" s="38" t="s">
        <v>59</v>
      </c>
      <c r="B27" s="36"/>
      <c r="C27" s="64">
        <f>E27-'[1]Italy'!E27</f>
        <v>-697</v>
      </c>
      <c r="D27" s="15">
        <f>F27-'[1]Italy'!F27</f>
        <v>-700</v>
      </c>
      <c r="E27" s="149">
        <v>125</v>
      </c>
      <c r="F27" s="15">
        <v>0</v>
      </c>
      <c r="G27" s="15">
        <v>116.45999434346926</v>
      </c>
      <c r="H27" s="15">
        <v>65</v>
      </c>
      <c r="I27" s="15">
        <v>173.79066789683088</v>
      </c>
      <c r="J27" s="15">
        <v>0</v>
      </c>
      <c r="K27" s="15">
        <v>8050.09516146122</v>
      </c>
      <c r="L27" s="15"/>
      <c r="M27" s="15">
        <v>4990</v>
      </c>
      <c r="N27" s="15">
        <v>75</v>
      </c>
      <c r="O27" s="15">
        <v>71</v>
      </c>
      <c r="P27" s="39">
        <v>0</v>
      </c>
    </row>
    <row r="28" spans="1:16" ht="13.5" thickBot="1">
      <c r="A28" s="40" t="s">
        <v>23</v>
      </c>
      <c r="B28" s="41">
        <f t="shared" si="3"/>
        <v>2.8977845958738695</v>
      </c>
      <c r="C28" s="65">
        <f>E28-'[1]Italy'!E28</f>
        <v>-29173.323521869057</v>
      </c>
      <c r="D28" s="42">
        <f>F28-'[1]Italy'!F28</f>
        <v>-27826.019041959575</v>
      </c>
      <c r="E28" s="137">
        <f>SUM(E23:E27)</f>
        <v>26813.24486055751</v>
      </c>
      <c r="F28" s="42">
        <v>6879.098677987893</v>
      </c>
      <c r="G28" s="42">
        <v>22149.816980799365</v>
      </c>
      <c r="H28" s="42">
        <v>7967.160948373407</v>
      </c>
      <c r="I28" s="42">
        <v>23299.29605205871</v>
      </c>
      <c r="J28" s="42">
        <v>5752</v>
      </c>
      <c r="K28" s="42">
        <v>35882.50745099641</v>
      </c>
      <c r="L28" s="42">
        <f>SUM(L23:L27)</f>
        <v>9926.396486743122</v>
      </c>
      <c r="M28" s="42">
        <f>SUM(M23:M27)</f>
        <v>25248</v>
      </c>
      <c r="N28" s="42">
        <f>SUM(N23:N27)</f>
        <v>14616</v>
      </c>
      <c r="O28" s="42">
        <f>SUM(O23:O27)</f>
        <v>15003</v>
      </c>
      <c r="P28" s="43">
        <f>SUM(P23:P27)</f>
        <v>21700</v>
      </c>
    </row>
    <row r="29" ht="12.75">
      <c r="A29" s="12" t="s">
        <v>147</v>
      </c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6"/>
      <c r="P44" s="1"/>
      <c r="Q44" s="1"/>
    </row>
    <row r="45" spans="15:17" ht="18.75">
      <c r="O45" s="7"/>
      <c r="P45" s="2"/>
      <c r="Q4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42187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53" t="s">
        <v>4</v>
      </c>
      <c r="B2" s="35" t="e">
        <f>(E2-F2)/F2</f>
        <v>#DIV/0!</v>
      </c>
      <c r="C2" s="63"/>
      <c r="D2" s="13">
        <f>F2-'[1]Poland'!F2</f>
        <v>0</v>
      </c>
      <c r="E2" s="148"/>
      <c r="F2" s="13"/>
      <c r="G2" s="13"/>
      <c r="H2" s="13"/>
      <c r="I2" s="13"/>
      <c r="J2" s="13"/>
      <c r="K2" s="13"/>
      <c r="L2" s="13"/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53" t="s">
        <v>33</v>
      </c>
      <c r="B3" s="35" t="e">
        <f>(E3-F3)/F3</f>
        <v>#DIV/0!</v>
      </c>
      <c r="C3" s="63"/>
      <c r="D3" s="13">
        <f>F3-'[1]Poland'!F3</f>
        <v>0</v>
      </c>
      <c r="E3" s="148"/>
      <c r="F3" s="13"/>
      <c r="G3" s="13"/>
      <c r="H3" s="13"/>
      <c r="I3" s="13"/>
      <c r="J3" s="13"/>
      <c r="K3" s="13"/>
      <c r="L3" s="13"/>
      <c r="M3" s="13">
        <v>1000</v>
      </c>
      <c r="N3" s="13">
        <v>500</v>
      </c>
      <c r="O3" s="13">
        <v>0</v>
      </c>
      <c r="P3" s="37">
        <v>3000</v>
      </c>
    </row>
    <row r="4" spans="1:16" ht="12.75">
      <c r="A4" s="27" t="s">
        <v>2</v>
      </c>
      <c r="B4" s="35" t="e">
        <f>(E4-F4)/F4</f>
        <v>#DIV/0!</v>
      </c>
      <c r="C4" s="63"/>
      <c r="D4" s="13">
        <f>F4-'[1]Poland'!F4</f>
        <v>0</v>
      </c>
      <c r="E4" s="148"/>
      <c r="F4" s="13"/>
      <c r="G4" s="13"/>
      <c r="H4" s="13"/>
      <c r="I4" s="13"/>
      <c r="J4" s="13"/>
      <c r="K4" s="13"/>
      <c r="L4" s="13"/>
      <c r="M4" s="13">
        <v>1000</v>
      </c>
      <c r="N4" s="13">
        <v>500</v>
      </c>
      <c r="O4" s="13">
        <v>0</v>
      </c>
      <c r="P4" s="37">
        <v>0</v>
      </c>
    </row>
    <row r="5" spans="1:16" ht="12.75">
      <c r="A5" s="27" t="s">
        <v>9</v>
      </c>
      <c r="B5" s="35">
        <f>(E5-F5)/F5</f>
        <v>0</v>
      </c>
      <c r="C5" s="63"/>
      <c r="D5" s="13">
        <f>F5-'[1]Poland'!F5</f>
        <v>-5000</v>
      </c>
      <c r="E5" s="148">
        <v>5000</v>
      </c>
      <c r="F5" s="13">
        <v>5000</v>
      </c>
      <c r="G5" s="13">
        <v>5000</v>
      </c>
      <c r="H5" s="13">
        <v>5000</v>
      </c>
      <c r="I5" s="13">
        <v>15000</v>
      </c>
      <c r="J5" s="13">
        <v>2000</v>
      </c>
      <c r="K5" s="13">
        <v>1000</v>
      </c>
      <c r="L5" s="13">
        <v>8000</v>
      </c>
      <c r="M5" s="13">
        <v>15000</v>
      </c>
      <c r="N5" s="13">
        <v>4000</v>
      </c>
      <c r="O5" s="13">
        <v>2000</v>
      </c>
      <c r="P5" s="37">
        <v>5000</v>
      </c>
    </row>
    <row r="6" spans="1:16" ht="12.75">
      <c r="A6" s="27" t="s">
        <v>14</v>
      </c>
      <c r="B6" s="35">
        <f>(E6-F6)/F6</f>
        <v>0</v>
      </c>
      <c r="C6" s="63"/>
      <c r="D6" s="13">
        <f>F6-'[1]Poland'!F6</f>
        <v>-25000</v>
      </c>
      <c r="E6" s="148">
        <v>25000</v>
      </c>
      <c r="F6" s="13">
        <v>25000</v>
      </c>
      <c r="G6" s="13">
        <v>25000</v>
      </c>
      <c r="H6" s="13">
        <v>20000</v>
      </c>
      <c r="I6" s="13">
        <v>20000</v>
      </c>
      <c r="J6" s="13">
        <v>15000</v>
      </c>
      <c r="K6" s="13">
        <v>20000</v>
      </c>
      <c r="L6" s="13">
        <v>3000</v>
      </c>
      <c r="M6" s="13">
        <v>1000</v>
      </c>
      <c r="N6" s="13">
        <v>1000</v>
      </c>
      <c r="O6" s="13">
        <v>2000</v>
      </c>
      <c r="P6" s="37">
        <v>6000</v>
      </c>
    </row>
    <row r="7" spans="1:16" ht="12.75">
      <c r="A7" s="29" t="s">
        <v>3</v>
      </c>
      <c r="B7" s="35">
        <f aca="true" t="shared" si="0" ref="B7:B17">(E7-F7)/F7</f>
        <v>-0.09090909090909091</v>
      </c>
      <c r="C7" s="63"/>
      <c r="D7" s="13">
        <f>F7-'[1]Poland'!F7</f>
        <v>-40000</v>
      </c>
      <c r="E7" s="148">
        <v>50000</v>
      </c>
      <c r="F7" s="108">
        <v>55000</v>
      </c>
      <c r="G7" s="108">
        <v>55000</v>
      </c>
      <c r="H7" s="108">
        <v>50000</v>
      </c>
      <c r="I7" s="108">
        <v>50000</v>
      </c>
      <c r="J7" s="108">
        <v>30000</v>
      </c>
      <c r="K7" s="108">
        <v>30000</v>
      </c>
      <c r="L7" s="108">
        <v>7000</v>
      </c>
      <c r="M7" s="108">
        <v>25000</v>
      </c>
      <c r="N7" s="108">
        <v>10000</v>
      </c>
      <c r="O7" s="13">
        <v>10000</v>
      </c>
      <c r="P7" s="37">
        <v>15000</v>
      </c>
    </row>
    <row r="8" spans="1:16" ht="12.75">
      <c r="A8" s="29" t="s">
        <v>10</v>
      </c>
      <c r="B8" s="35">
        <f t="shared" si="0"/>
        <v>-0.42857142857142855</v>
      </c>
      <c r="C8" s="63"/>
      <c r="D8" s="13">
        <f>F8-'[1]Poland'!F8</f>
        <v>-65000</v>
      </c>
      <c r="E8" s="148">
        <v>60000</v>
      </c>
      <c r="F8" s="108">
        <v>105000</v>
      </c>
      <c r="G8" s="108">
        <v>110000</v>
      </c>
      <c r="H8" s="108">
        <v>70000</v>
      </c>
      <c r="I8" s="108">
        <v>70000</v>
      </c>
      <c r="J8" s="108">
        <v>55000</v>
      </c>
      <c r="K8" s="108">
        <v>60000</v>
      </c>
      <c r="L8" s="108">
        <v>20000</v>
      </c>
      <c r="M8" s="108">
        <v>46000</v>
      </c>
      <c r="N8" s="108">
        <v>30000</v>
      </c>
      <c r="O8" s="13">
        <v>15000</v>
      </c>
      <c r="P8" s="37">
        <v>30000</v>
      </c>
    </row>
    <row r="9" spans="1:16" ht="12.75">
      <c r="A9" s="29" t="s">
        <v>27</v>
      </c>
      <c r="B9" s="35">
        <f t="shared" si="0"/>
        <v>-0.8</v>
      </c>
      <c r="C9" s="63"/>
      <c r="D9" s="13">
        <f>F9-'[1]Poland'!F9</f>
        <v>-20000</v>
      </c>
      <c r="E9" s="148">
        <v>5000</v>
      </c>
      <c r="F9" s="108">
        <v>25000</v>
      </c>
      <c r="G9" s="108">
        <v>25000</v>
      </c>
      <c r="H9" s="108">
        <v>20000</v>
      </c>
      <c r="I9" s="108">
        <v>25000</v>
      </c>
      <c r="J9" s="108">
        <v>20000</v>
      </c>
      <c r="K9" s="108">
        <v>20000</v>
      </c>
      <c r="L9" s="108">
        <v>5000</v>
      </c>
      <c r="M9" s="108">
        <v>10000</v>
      </c>
      <c r="N9" s="108">
        <v>2000</v>
      </c>
      <c r="O9" s="13">
        <v>0</v>
      </c>
      <c r="P9" s="37">
        <v>1000</v>
      </c>
    </row>
    <row r="10" spans="1:16" ht="12.75">
      <c r="A10" s="29" t="s">
        <v>157</v>
      </c>
      <c r="B10" s="35">
        <f t="shared" si="0"/>
        <v>-0.5</v>
      </c>
      <c r="C10" s="63"/>
      <c r="D10" s="13">
        <f>F10-'[1]Poland'!F10</f>
        <v>-35000</v>
      </c>
      <c r="E10" s="148">
        <v>15000</v>
      </c>
      <c r="F10" s="108">
        <v>30000</v>
      </c>
      <c r="G10" s="108">
        <v>35000</v>
      </c>
      <c r="H10" s="108">
        <v>30000</v>
      </c>
      <c r="I10" s="108">
        <v>35000</v>
      </c>
      <c r="J10" s="108">
        <v>35000</v>
      </c>
      <c r="K10" s="108">
        <v>40000</v>
      </c>
      <c r="L10" s="108"/>
      <c r="M10" s="108">
        <v>0</v>
      </c>
      <c r="N10" s="108">
        <v>0</v>
      </c>
      <c r="O10" s="13">
        <v>0</v>
      </c>
      <c r="P10" s="37">
        <v>0</v>
      </c>
    </row>
    <row r="11" spans="1:16" ht="12.75">
      <c r="A11" s="88" t="s">
        <v>34</v>
      </c>
      <c r="B11" s="35" t="e">
        <f t="shared" si="0"/>
        <v>#DIV/0!</v>
      </c>
      <c r="C11" s="63"/>
      <c r="D11" s="13">
        <f>F11-'[1]Poland'!F11</f>
        <v>0</v>
      </c>
      <c r="E11" s="148"/>
      <c r="F11" s="108"/>
      <c r="G11" s="108"/>
      <c r="H11" s="108"/>
      <c r="I11" s="108"/>
      <c r="J11" s="108"/>
      <c r="K11" s="108"/>
      <c r="L11" s="108">
        <v>3000</v>
      </c>
      <c r="M11" s="108">
        <v>10000</v>
      </c>
      <c r="N11" s="108">
        <v>3000</v>
      </c>
      <c r="O11" s="13">
        <v>0</v>
      </c>
      <c r="P11" s="37">
        <v>3000</v>
      </c>
    </row>
    <row r="12" spans="1:16" ht="12.75">
      <c r="A12" s="88" t="s">
        <v>123</v>
      </c>
      <c r="B12" s="35" t="e">
        <f t="shared" si="0"/>
        <v>#DIV/0!</v>
      </c>
      <c r="C12" s="63"/>
      <c r="D12" s="13">
        <f>F12-'[1]Poland'!F12</f>
        <v>0</v>
      </c>
      <c r="E12" s="148"/>
      <c r="F12" s="108"/>
      <c r="G12" s="108"/>
      <c r="H12" s="108"/>
      <c r="I12" s="108"/>
      <c r="J12" s="108"/>
      <c r="K12" s="108"/>
      <c r="L12" s="108"/>
      <c r="M12" s="108">
        <v>0</v>
      </c>
      <c r="N12" s="108">
        <v>0</v>
      </c>
      <c r="O12" s="13">
        <v>0</v>
      </c>
      <c r="P12" s="37">
        <v>0</v>
      </c>
    </row>
    <row r="13" spans="1:16" ht="12.75">
      <c r="A13" s="88" t="s">
        <v>19</v>
      </c>
      <c r="B13" s="35" t="e">
        <f t="shared" si="0"/>
        <v>#DIV/0!</v>
      </c>
      <c r="C13" s="63"/>
      <c r="D13" s="13">
        <f>F13-'[1]Poland'!F13</f>
        <v>0</v>
      </c>
      <c r="E13" s="148"/>
      <c r="F13" s="108"/>
      <c r="G13" s="108"/>
      <c r="H13" s="108"/>
      <c r="I13" s="108"/>
      <c r="J13" s="108"/>
      <c r="K13" s="108"/>
      <c r="L13" s="108"/>
      <c r="M13" s="108">
        <v>1000</v>
      </c>
      <c r="N13" s="108">
        <v>1000</v>
      </c>
      <c r="O13" s="13">
        <v>0</v>
      </c>
      <c r="P13" s="37">
        <v>0</v>
      </c>
    </row>
    <row r="14" spans="1:16" ht="12.75">
      <c r="A14" s="88" t="s">
        <v>90</v>
      </c>
      <c r="B14" s="35">
        <f t="shared" si="0"/>
        <v>-0.4</v>
      </c>
      <c r="C14" s="63"/>
      <c r="D14" s="13">
        <f>F14-'[1]Poland'!F14</f>
        <v>-45000</v>
      </c>
      <c r="E14" s="148">
        <v>15000</v>
      </c>
      <c r="F14" s="108">
        <v>25000</v>
      </c>
      <c r="G14" s="108">
        <v>30000</v>
      </c>
      <c r="H14" s="108">
        <v>35000</v>
      </c>
      <c r="I14" s="108">
        <v>40000</v>
      </c>
      <c r="J14" s="108">
        <v>20000</v>
      </c>
      <c r="K14" s="108">
        <v>20000</v>
      </c>
      <c r="L14" s="108">
        <v>5000</v>
      </c>
      <c r="M14" s="108">
        <v>5000</v>
      </c>
      <c r="N14" s="108">
        <v>5000</v>
      </c>
      <c r="O14" s="13">
        <v>0</v>
      </c>
      <c r="P14" s="37">
        <v>4000</v>
      </c>
    </row>
    <row r="15" spans="1:16" ht="12.75">
      <c r="A15" s="88" t="s">
        <v>35</v>
      </c>
      <c r="B15" s="35" t="e">
        <f t="shared" si="0"/>
        <v>#DIV/0!</v>
      </c>
      <c r="C15" s="63"/>
      <c r="D15" s="13">
        <f>F15-'[1]Poland'!F15</f>
        <v>0</v>
      </c>
      <c r="E15" s="148"/>
      <c r="F15" s="108"/>
      <c r="G15" s="108"/>
      <c r="H15" s="108"/>
      <c r="I15" s="108"/>
      <c r="J15" s="108"/>
      <c r="K15" s="108"/>
      <c r="L15" s="108"/>
      <c r="M15" s="108">
        <v>0</v>
      </c>
      <c r="N15" s="108">
        <v>0</v>
      </c>
      <c r="O15" s="13">
        <v>0</v>
      </c>
      <c r="P15" s="37">
        <v>0</v>
      </c>
    </row>
    <row r="16" spans="1:16" ht="13.5" thickBot="1">
      <c r="A16" s="30" t="s">
        <v>59</v>
      </c>
      <c r="B16" s="36">
        <f t="shared" si="0"/>
        <v>-0.9333333333333333</v>
      </c>
      <c r="C16" s="64"/>
      <c r="D16" s="15">
        <f>F16-'[1]Poland'!F16</f>
        <v>-45000</v>
      </c>
      <c r="E16" s="149">
        <v>2000</v>
      </c>
      <c r="F16" s="15">
        <v>30000</v>
      </c>
      <c r="G16" s="109">
        <v>40000</v>
      </c>
      <c r="H16" s="109">
        <v>20000</v>
      </c>
      <c r="I16" s="109">
        <v>20000</v>
      </c>
      <c r="J16" s="109">
        <v>7000</v>
      </c>
      <c r="K16" s="109">
        <v>5000</v>
      </c>
      <c r="L16" s="109">
        <v>4000</v>
      </c>
      <c r="M16" s="109">
        <v>5000</v>
      </c>
      <c r="N16" s="109">
        <v>3000</v>
      </c>
      <c r="O16" s="15">
        <v>11000</v>
      </c>
      <c r="P16" s="39">
        <v>3000</v>
      </c>
    </row>
    <row r="17" spans="1:16" ht="13.5" thickBot="1">
      <c r="A17" s="45" t="s">
        <v>23</v>
      </c>
      <c r="B17" s="41">
        <f t="shared" si="0"/>
        <v>-0.41</v>
      </c>
      <c r="C17" s="65"/>
      <c r="D17" s="42">
        <f>F17-'[1]Poland'!F17</f>
        <v>-280000</v>
      </c>
      <c r="E17" s="137">
        <v>177000</v>
      </c>
      <c r="F17" s="42">
        <f>SUM(F2:F16)</f>
        <v>300000</v>
      </c>
      <c r="G17" s="42">
        <f>SUM(G2:G16)</f>
        <v>325000</v>
      </c>
      <c r="H17" s="42">
        <f>SUM(H2:H16)</f>
        <v>250000</v>
      </c>
      <c r="I17" s="42">
        <f>SUM(I2:I16)</f>
        <v>275000</v>
      </c>
      <c r="J17" s="42">
        <f>SUM(J2:J16)</f>
        <v>184000</v>
      </c>
      <c r="K17" s="42">
        <f aca="true" t="shared" si="1" ref="K17:P17">SUM(K2:K16)</f>
        <v>196000</v>
      </c>
      <c r="L17" s="42">
        <f t="shared" si="1"/>
        <v>55000</v>
      </c>
      <c r="M17" s="42">
        <f t="shared" si="1"/>
        <v>120000</v>
      </c>
      <c r="N17" s="42">
        <f t="shared" si="1"/>
        <v>60000</v>
      </c>
      <c r="O17" s="42">
        <f t="shared" si="1"/>
        <v>40000</v>
      </c>
      <c r="P17" s="43">
        <f t="shared" si="1"/>
        <v>70000</v>
      </c>
    </row>
    <row r="18" spans="2:14" s="9" customFormat="1" ht="12.75">
      <c r="B18" s="44"/>
      <c r="C18" s="44"/>
      <c r="D18" s="44"/>
      <c r="E18" s="44"/>
      <c r="F18" s="44"/>
      <c r="G18" s="12"/>
      <c r="H18" s="12"/>
      <c r="I18" s="12"/>
      <c r="J18" s="12"/>
      <c r="K18" s="12"/>
      <c r="L18" s="12"/>
      <c r="M18" s="12"/>
      <c r="N18" s="12"/>
    </row>
    <row r="19" spans="2:14" s="9" customFormat="1" ht="13.5" thickBot="1">
      <c r="B19" s="44"/>
      <c r="C19" s="44"/>
      <c r="D19" s="44"/>
      <c r="E19" s="44"/>
      <c r="F19" s="44"/>
      <c r="G19" s="12"/>
      <c r="H19" s="12"/>
      <c r="I19" s="12"/>
      <c r="J19" s="12"/>
      <c r="K19" s="12"/>
      <c r="L19" s="12"/>
      <c r="M19" s="12"/>
      <c r="N19" s="12"/>
    </row>
    <row r="20" spans="1:16" s="16" customFormat="1" ht="13.5" thickBot="1">
      <c r="A20" s="31" t="s">
        <v>25</v>
      </c>
      <c r="B20" s="32" t="s">
        <v>176</v>
      </c>
      <c r="C20" s="62" t="s">
        <v>175</v>
      </c>
      <c r="D20" s="107" t="s">
        <v>168</v>
      </c>
      <c r="E20" s="147">
        <v>43221</v>
      </c>
      <c r="F20" s="33">
        <v>42856</v>
      </c>
      <c r="G20" s="33">
        <v>42491</v>
      </c>
      <c r="H20" s="33">
        <v>42125</v>
      </c>
      <c r="I20" s="33">
        <v>41760</v>
      </c>
      <c r="J20" s="33">
        <v>41395</v>
      </c>
      <c r="K20" s="33">
        <v>41030</v>
      </c>
      <c r="L20" s="33">
        <v>40664</v>
      </c>
      <c r="M20" s="33">
        <v>40299</v>
      </c>
      <c r="N20" s="33">
        <v>39934</v>
      </c>
      <c r="O20" s="33">
        <v>39569</v>
      </c>
      <c r="P20" s="34">
        <v>39203</v>
      </c>
    </row>
    <row r="21" spans="1:16" ht="12.75">
      <c r="A21" s="27" t="s">
        <v>7</v>
      </c>
      <c r="B21" s="35" t="e">
        <f>(E21-F21)/F21</f>
        <v>#DIV/0!</v>
      </c>
      <c r="C21" s="63"/>
      <c r="D21" s="13">
        <f>F21-'[1]Poland'!F21</f>
        <v>0</v>
      </c>
      <c r="E21" s="148">
        <v>0</v>
      </c>
      <c r="F21" s="13">
        <v>0</v>
      </c>
      <c r="G21" s="13">
        <v>0</v>
      </c>
      <c r="H21" s="13">
        <v>0</v>
      </c>
      <c r="I21" s="13">
        <v>1000</v>
      </c>
      <c r="J21" s="13"/>
      <c r="K21" s="13"/>
      <c r="L21" s="13"/>
      <c r="M21" s="13">
        <v>1000</v>
      </c>
      <c r="N21" s="13">
        <v>0</v>
      </c>
      <c r="O21" s="13">
        <v>0</v>
      </c>
      <c r="P21" s="37">
        <v>500</v>
      </c>
    </row>
    <row r="22" spans="1:16" ht="12.75">
      <c r="A22" s="53" t="s">
        <v>94</v>
      </c>
      <c r="B22" s="35" t="e">
        <f>(E22-F22)/F22</f>
        <v>#DIV/0!</v>
      </c>
      <c r="C22" s="63"/>
      <c r="D22" s="13">
        <f>F22-'[1]Poland'!F22</f>
        <v>0</v>
      </c>
      <c r="E22" s="148">
        <v>0</v>
      </c>
      <c r="F22" s="13">
        <v>0</v>
      </c>
      <c r="G22" s="13"/>
      <c r="H22" s="13"/>
      <c r="I22" s="13"/>
      <c r="J22" s="13"/>
      <c r="K22" s="13"/>
      <c r="L22" s="13"/>
      <c r="M22" s="13">
        <v>0</v>
      </c>
      <c r="N22" s="13">
        <v>0</v>
      </c>
      <c r="O22" s="13">
        <v>0</v>
      </c>
      <c r="P22" s="37">
        <v>0</v>
      </c>
    </row>
    <row r="23" spans="1:16" ht="13.5" thickBot="1">
      <c r="A23" s="38" t="s">
        <v>59</v>
      </c>
      <c r="B23" s="36" t="e">
        <f>(E23-F23)/F23</f>
        <v>#DIV/0!</v>
      </c>
      <c r="C23" s="64"/>
      <c r="D23" s="15">
        <f>F23-'[1]Poland'!F23</f>
        <v>0</v>
      </c>
      <c r="E23" s="149">
        <v>0</v>
      </c>
      <c r="F23" s="15">
        <v>0</v>
      </c>
      <c r="G23" s="15"/>
      <c r="H23" s="15"/>
      <c r="I23" s="15"/>
      <c r="J23" s="15"/>
      <c r="K23" s="15"/>
      <c r="L23" s="15"/>
      <c r="M23" s="15">
        <v>0</v>
      </c>
      <c r="N23" s="15">
        <v>0</v>
      </c>
      <c r="O23" s="15">
        <v>0</v>
      </c>
      <c r="P23" s="39">
        <v>0</v>
      </c>
    </row>
    <row r="24" spans="1:16" ht="13.5" thickBot="1">
      <c r="A24" s="40" t="s">
        <v>23</v>
      </c>
      <c r="B24" s="41" t="e">
        <f>(E24-F24)/F24</f>
        <v>#DIV/0!</v>
      </c>
      <c r="C24" s="65"/>
      <c r="D24" s="42">
        <f>F24-'[1]Poland'!F24</f>
        <v>0</v>
      </c>
      <c r="E24" s="137">
        <v>0</v>
      </c>
      <c r="F24" s="42">
        <f>SUM(F21:F23)</f>
        <v>0</v>
      </c>
      <c r="G24" s="42">
        <v>0</v>
      </c>
      <c r="H24" s="42">
        <f>SUM(H21:H23)</f>
        <v>0</v>
      </c>
      <c r="I24" s="42">
        <f>SUM(I21:I23)</f>
        <v>1000</v>
      </c>
      <c r="J24" s="42">
        <v>0</v>
      </c>
      <c r="K24" s="42">
        <v>0</v>
      </c>
      <c r="L24" s="42">
        <v>0</v>
      </c>
      <c r="M24" s="42">
        <f>SUM(M21:M23)</f>
        <v>1000</v>
      </c>
      <c r="N24" s="42">
        <f>SUM(N21:N23)</f>
        <v>0</v>
      </c>
      <c r="O24" s="42">
        <f>SUM(O21:O23)</f>
        <v>0</v>
      </c>
      <c r="P24" s="43">
        <f>SUM(P21:P23)</f>
        <v>500</v>
      </c>
    </row>
    <row r="26" ht="12.75">
      <c r="A26" s="157" t="s">
        <v>178</v>
      </c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6"/>
      <c r="P41" s="1"/>
      <c r="Q41" s="1"/>
    </row>
    <row r="42" spans="15:17" ht="18.75">
      <c r="O42" s="7"/>
      <c r="P42" s="2"/>
      <c r="Q4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00390625" style="0" customWidth="1"/>
    <col min="2" max="2" width="11.00390625" style="0" bestFit="1" customWidth="1"/>
    <col min="3" max="3" width="11.57421875" style="0" bestFit="1" customWidth="1"/>
    <col min="4" max="4" width="11.57421875" style="9" bestFit="1" customWidth="1"/>
    <col min="5" max="5" width="11.57421875" style="0" customWidth="1"/>
    <col min="6" max="6" width="10.421875" style="9" customWidth="1"/>
    <col min="7" max="14" width="10.140625" style="0" customWidth="1"/>
  </cols>
  <sheetData>
    <row r="1" spans="1:14" ht="13.5" thickBot="1">
      <c r="A1" s="52" t="s">
        <v>92</v>
      </c>
      <c r="B1" s="32" t="s">
        <v>176</v>
      </c>
      <c r="C1" s="62" t="s">
        <v>175</v>
      </c>
      <c r="D1" s="107" t="s">
        <v>168</v>
      </c>
      <c r="E1" s="155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49">
        <v>39934</v>
      </c>
    </row>
    <row r="2" spans="1:14" ht="12.75">
      <c r="A2" s="53" t="s">
        <v>9</v>
      </c>
      <c r="B2" s="60"/>
      <c r="C2" s="101"/>
      <c r="D2" s="90"/>
      <c r="E2" s="90"/>
      <c r="F2" s="90"/>
      <c r="G2" s="90"/>
      <c r="H2" s="90"/>
      <c r="I2" s="90"/>
      <c r="J2" s="90"/>
      <c r="K2" s="90"/>
      <c r="L2" s="90"/>
      <c r="M2" s="90"/>
      <c r="N2" s="92"/>
    </row>
    <row r="3" spans="1:14" ht="12.75">
      <c r="A3" s="53" t="s">
        <v>150</v>
      </c>
      <c r="B3" s="60"/>
      <c r="C3" s="101"/>
      <c r="D3" s="90"/>
      <c r="E3" s="90"/>
      <c r="F3" s="90"/>
      <c r="G3" s="90"/>
      <c r="H3" s="90"/>
      <c r="I3" s="90"/>
      <c r="J3" s="90"/>
      <c r="K3" s="90"/>
      <c r="L3" s="90"/>
      <c r="M3" s="90"/>
      <c r="N3" s="92"/>
    </row>
    <row r="4" spans="1:14" ht="12.75">
      <c r="A4" s="53" t="s">
        <v>27</v>
      </c>
      <c r="B4" s="60"/>
      <c r="C4" s="101"/>
      <c r="D4" s="90"/>
      <c r="E4" s="90"/>
      <c r="F4" s="90"/>
      <c r="G4" s="90"/>
      <c r="H4" s="90"/>
      <c r="I4" s="90"/>
      <c r="J4" s="90"/>
      <c r="K4" s="90"/>
      <c r="L4" s="90"/>
      <c r="M4" s="90"/>
      <c r="N4" s="92"/>
    </row>
    <row r="5" spans="1:14" ht="12.75">
      <c r="A5" s="53" t="s">
        <v>26</v>
      </c>
      <c r="B5" s="60"/>
      <c r="C5" s="101"/>
      <c r="D5" s="90"/>
      <c r="E5" s="90"/>
      <c r="F5" s="90"/>
      <c r="G5" s="90"/>
      <c r="H5" s="90"/>
      <c r="I5" s="90"/>
      <c r="J5" s="90"/>
      <c r="K5" s="90"/>
      <c r="L5" s="90"/>
      <c r="M5" s="90"/>
      <c r="N5" s="92"/>
    </row>
    <row r="6" spans="1:14" ht="12.75">
      <c r="A6" s="53" t="s">
        <v>19</v>
      </c>
      <c r="B6" s="60"/>
      <c r="C6" s="101"/>
      <c r="D6" s="90"/>
      <c r="E6" s="90"/>
      <c r="F6" s="90"/>
      <c r="G6" s="90"/>
      <c r="H6" s="90"/>
      <c r="I6" s="90"/>
      <c r="J6" s="90"/>
      <c r="K6" s="90"/>
      <c r="L6" s="90"/>
      <c r="M6" s="90"/>
      <c r="N6" s="92"/>
    </row>
    <row r="7" spans="1:14" ht="12.75">
      <c r="A7" s="53" t="s">
        <v>89</v>
      </c>
      <c r="B7" s="60"/>
      <c r="C7" s="101"/>
      <c r="D7" s="90"/>
      <c r="E7" s="90"/>
      <c r="F7" s="90"/>
      <c r="G7" s="90"/>
      <c r="H7" s="90"/>
      <c r="I7" s="90"/>
      <c r="J7" s="90"/>
      <c r="K7" s="90"/>
      <c r="L7" s="90"/>
      <c r="M7" s="90"/>
      <c r="N7" s="92"/>
    </row>
    <row r="8" spans="1:14" ht="13.5" thickBot="1">
      <c r="A8" s="54" t="s">
        <v>6</v>
      </c>
      <c r="B8" s="61"/>
      <c r="C8" s="101"/>
      <c r="D8" s="90"/>
      <c r="E8" s="90"/>
      <c r="F8" s="91"/>
      <c r="G8" s="90"/>
      <c r="H8" s="90"/>
      <c r="I8" s="90"/>
      <c r="J8" s="90"/>
      <c r="K8" s="90"/>
      <c r="L8" s="90"/>
      <c r="M8" s="90"/>
      <c r="N8" s="92"/>
    </row>
    <row r="9" spans="1:14" ht="13.5" thickBot="1">
      <c r="A9" s="55" t="s">
        <v>93</v>
      </c>
      <c r="B9" s="105"/>
      <c r="C9" s="87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8"/>
    </row>
    <row r="10" spans="5:14" ht="12.75">
      <c r="E10" s="9"/>
      <c r="G10" s="9"/>
      <c r="H10" s="9"/>
      <c r="I10" s="9"/>
      <c r="J10" s="9"/>
      <c r="K10" s="9"/>
      <c r="L10" s="9"/>
      <c r="M10" s="9"/>
      <c r="N10" s="9"/>
    </row>
    <row r="11" spans="2:14" ht="13.5" thickBot="1">
      <c r="B11" s="3"/>
      <c r="C11" s="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3.5" thickBot="1">
      <c r="A12" s="67" t="s">
        <v>92</v>
      </c>
      <c r="B12" s="32" t="s">
        <v>176</v>
      </c>
      <c r="C12" s="62" t="s">
        <v>175</v>
      </c>
      <c r="D12" s="107" t="s">
        <v>168</v>
      </c>
      <c r="E12" s="147">
        <v>43221</v>
      </c>
      <c r="F12" s="33">
        <v>42856</v>
      </c>
      <c r="G12" s="33">
        <v>42491</v>
      </c>
      <c r="H12" s="33">
        <v>42125</v>
      </c>
      <c r="I12" s="33">
        <v>41760</v>
      </c>
      <c r="J12" s="33">
        <v>41395</v>
      </c>
      <c r="K12" s="33">
        <v>41030</v>
      </c>
      <c r="L12" s="33">
        <v>40664</v>
      </c>
      <c r="M12" s="33">
        <v>40299</v>
      </c>
      <c r="N12" s="49">
        <v>39934</v>
      </c>
    </row>
    <row r="13" spans="1:14" ht="13.5" thickBot="1">
      <c r="A13" s="69" t="s">
        <v>152</v>
      </c>
      <c r="B13" s="70">
        <f>(E13-F13)/F13</f>
        <v>0.30657266317944054</v>
      </c>
      <c r="C13" s="99">
        <f>E13-'[2]Portugal'!E13</f>
        <v>-30460</v>
      </c>
      <c r="D13" s="95">
        <f>F13-'[2]Portugal'!F13</f>
        <v>-22631</v>
      </c>
      <c r="E13" s="71">
        <v>5745</v>
      </c>
      <c r="F13" s="95">
        <v>4397</v>
      </c>
      <c r="G13" s="95">
        <v>2891</v>
      </c>
      <c r="H13" s="95">
        <v>6678.571428571428</v>
      </c>
      <c r="I13" s="95">
        <v>26042.682926829268</v>
      </c>
      <c r="J13" s="95">
        <v>0</v>
      </c>
      <c r="K13" s="95">
        <v>0</v>
      </c>
      <c r="L13" s="95">
        <v>0</v>
      </c>
      <c r="M13" s="95"/>
      <c r="N13" s="97"/>
    </row>
    <row r="14" spans="1:14" ht="13.5" thickBot="1">
      <c r="A14" s="67" t="s">
        <v>93</v>
      </c>
      <c r="B14" s="78">
        <f>(E14-F14)/F14</f>
        <v>0.30657266317944054</v>
      </c>
      <c r="C14" s="116">
        <f>E14-'[2]Portugal'!E14</f>
        <v>-30460</v>
      </c>
      <c r="D14" s="113">
        <f>F14-'[2]Portugal'!F14</f>
        <v>-22631</v>
      </c>
      <c r="E14" s="79">
        <f>SUM(E13)</f>
        <v>5745</v>
      </c>
      <c r="F14" s="113">
        <f>SUM(F13)</f>
        <v>4397</v>
      </c>
      <c r="G14" s="113">
        <f aca="true" t="shared" si="0" ref="G14:L14">SUM(G13)</f>
        <v>2891</v>
      </c>
      <c r="H14" s="113">
        <f t="shared" si="0"/>
        <v>6678.571428571428</v>
      </c>
      <c r="I14" s="113">
        <f t="shared" si="0"/>
        <v>26042.682926829268</v>
      </c>
      <c r="J14" s="113">
        <f t="shared" si="0"/>
        <v>0</v>
      </c>
      <c r="K14" s="113">
        <f t="shared" si="0"/>
        <v>0</v>
      </c>
      <c r="L14" s="113">
        <f t="shared" si="0"/>
        <v>0</v>
      </c>
      <c r="M14" s="113"/>
      <c r="N14" s="1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85156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109</v>
      </c>
      <c r="B2" s="35">
        <f>(E2-F2)/F2</f>
        <v>-0.5591000479107451</v>
      </c>
      <c r="C2" s="63">
        <f>E2-'[1]Spain'!E2</f>
        <v>-3743</v>
      </c>
      <c r="D2" s="13">
        <f>F2-'[1]Spain'!F2</f>
        <v>-2587.088825853656</v>
      </c>
      <c r="E2" s="148">
        <v>4306</v>
      </c>
      <c r="F2" s="13">
        <v>9766.387997085338</v>
      </c>
      <c r="G2" s="13">
        <v>6285.86533994902</v>
      </c>
      <c r="H2" s="13">
        <v>3800.4610216728242</v>
      </c>
      <c r="I2" s="13">
        <v>5791.29750188427</v>
      </c>
      <c r="J2" s="13">
        <v>1047.6551218719571</v>
      </c>
      <c r="K2" s="13">
        <v>3235</v>
      </c>
      <c r="L2" s="13">
        <v>1944.753939274229</v>
      </c>
      <c r="M2" s="13">
        <v>1774</v>
      </c>
      <c r="N2" s="13">
        <v>2538</v>
      </c>
      <c r="O2" s="13">
        <v>2835</v>
      </c>
      <c r="P2" s="37">
        <v>928</v>
      </c>
    </row>
    <row r="3" spans="1:16" ht="12.75">
      <c r="A3" s="27" t="s">
        <v>110</v>
      </c>
      <c r="B3" s="35">
        <f aca="true" t="shared" si="0" ref="B3:B8">(E3-F3)/F3</f>
        <v>-0.9588377723970944</v>
      </c>
      <c r="C3" s="63">
        <f>E3-'[1]Spain'!E3</f>
        <v>-394</v>
      </c>
      <c r="D3" s="13">
        <f>F3-'[1]Spain'!F3</f>
        <v>-1430.6643367313832</v>
      </c>
      <c r="E3" s="148">
        <v>17</v>
      </c>
      <c r="F3" s="13">
        <v>413</v>
      </c>
      <c r="G3" s="13">
        <v>117.1608557486843</v>
      </c>
      <c r="H3" s="13">
        <v>380.6232817804728</v>
      </c>
      <c r="I3" s="13">
        <v>2.6260607436131207</v>
      </c>
      <c r="J3" s="13">
        <v>0</v>
      </c>
      <c r="K3" s="13">
        <v>16.468467897688623</v>
      </c>
      <c r="L3" s="13">
        <v>257.9398056886814</v>
      </c>
      <c r="M3" s="13">
        <v>132</v>
      </c>
      <c r="N3" s="13">
        <v>285</v>
      </c>
      <c r="O3" s="13">
        <v>135</v>
      </c>
      <c r="P3" s="37">
        <v>179</v>
      </c>
    </row>
    <row r="4" spans="1:16" ht="12.75">
      <c r="A4" s="27" t="s">
        <v>111</v>
      </c>
      <c r="B4" s="35">
        <f t="shared" si="0"/>
        <v>-0.4464750849377123</v>
      </c>
      <c r="C4" s="63">
        <f>E4-'[1]Spain'!E4</f>
        <v>-20345</v>
      </c>
      <c r="D4" s="13">
        <f>F4-'[1]Spain'!F4</f>
        <v>-20126.98311930777</v>
      </c>
      <c r="E4" s="148">
        <v>39101</v>
      </c>
      <c r="F4" s="13">
        <v>70640</v>
      </c>
      <c r="G4" s="13">
        <v>41242.843465537386</v>
      </c>
      <c r="H4" s="13">
        <v>57315.84475425286</v>
      </c>
      <c r="I4" s="13">
        <v>50736.037590910724</v>
      </c>
      <c r="J4" s="13">
        <v>27690.515783730974</v>
      </c>
      <c r="K4" s="13">
        <v>57676.84967461765</v>
      </c>
      <c r="L4" s="13">
        <v>45942.05535728041</v>
      </c>
      <c r="M4" s="13">
        <v>39784</v>
      </c>
      <c r="N4" s="13">
        <v>62391</v>
      </c>
      <c r="O4" s="13">
        <v>39485</v>
      </c>
      <c r="P4" s="37">
        <v>35405</v>
      </c>
    </row>
    <row r="5" spans="1:20" ht="12.75">
      <c r="A5" s="27" t="s">
        <v>17</v>
      </c>
      <c r="B5" s="35">
        <f t="shared" si="0"/>
        <v>0.050893259270379826</v>
      </c>
      <c r="C5" s="63">
        <f>E5-'[1]Spain'!E5</f>
        <v>-1934</v>
      </c>
      <c r="D5" s="13">
        <f>F5-'[1]Spain'!F5</f>
        <v>-2293.282822777006</v>
      </c>
      <c r="E5" s="148">
        <v>7000</v>
      </c>
      <c r="F5" s="13">
        <v>6661</v>
      </c>
      <c r="G5" s="13">
        <v>6806.226610468223</v>
      </c>
      <c r="H5" s="13">
        <v>4280.4849769467655</v>
      </c>
      <c r="I5" s="13">
        <v>3317.071770888924</v>
      </c>
      <c r="J5" s="13">
        <v>2159.9727070975114</v>
      </c>
      <c r="K5" s="13">
        <v>2915.3514804445654</v>
      </c>
      <c r="L5" s="13">
        <v>324.8439374103582</v>
      </c>
      <c r="M5" s="13">
        <v>2014</v>
      </c>
      <c r="N5" s="13">
        <v>1871</v>
      </c>
      <c r="O5" s="13">
        <v>475</v>
      </c>
      <c r="P5" s="37">
        <v>101</v>
      </c>
      <c r="S5" s="13"/>
      <c r="T5" s="46"/>
    </row>
    <row r="6" spans="1:20" ht="12.75">
      <c r="A6" s="29" t="s">
        <v>19</v>
      </c>
      <c r="B6" s="35">
        <f t="shared" si="0"/>
        <v>-0.0939883355764917</v>
      </c>
      <c r="C6" s="63">
        <f>E6-'[1]Spain'!E6</f>
        <v>-2941</v>
      </c>
      <c r="D6" s="13">
        <f>F6-'[1]Spain'!F6</f>
        <v>-2085.329791352571</v>
      </c>
      <c r="E6" s="148">
        <v>4039</v>
      </c>
      <c r="F6" s="108">
        <v>4458</v>
      </c>
      <c r="G6" s="108">
        <v>5423.0965681677535</v>
      </c>
      <c r="H6" s="108">
        <v>3665.054133612075</v>
      </c>
      <c r="I6" s="108">
        <v>925.8626144643797</v>
      </c>
      <c r="J6" s="108">
        <v>1094.6283477818083</v>
      </c>
      <c r="K6" s="108">
        <v>1295.0763009642578</v>
      </c>
      <c r="L6" s="108">
        <v>486.22067952895304</v>
      </c>
      <c r="M6" s="108">
        <v>1918</v>
      </c>
      <c r="N6" s="108">
        <v>4887</v>
      </c>
      <c r="O6" s="13">
        <v>2220</v>
      </c>
      <c r="P6" s="37">
        <v>2095</v>
      </c>
      <c r="S6" s="13"/>
      <c r="T6" s="46"/>
    </row>
    <row r="7" spans="1:20" ht="13.5" thickBot="1">
      <c r="A7" s="30" t="s">
        <v>59</v>
      </c>
      <c r="B7" s="36">
        <f t="shared" si="0"/>
        <v>-0.1577221228384019</v>
      </c>
      <c r="C7" s="64">
        <f>E7-'[1]Spain'!E7</f>
        <v>-1845</v>
      </c>
      <c r="D7" s="15">
        <f>F7-'[1]Spain'!F7</f>
        <v>-1936</v>
      </c>
      <c r="E7" s="149">
        <v>2825</v>
      </c>
      <c r="F7" s="109">
        <v>3354</v>
      </c>
      <c r="G7" s="109">
        <v>2361</v>
      </c>
      <c r="H7" s="109">
        <v>2276.955</v>
      </c>
      <c r="I7" s="109">
        <v>2359.8</v>
      </c>
      <c r="J7" s="109">
        <v>1313</v>
      </c>
      <c r="K7" s="109">
        <v>2614</v>
      </c>
      <c r="L7" s="109">
        <v>595.5</v>
      </c>
      <c r="M7" s="109">
        <v>538</v>
      </c>
      <c r="N7" s="109">
        <v>1749</v>
      </c>
      <c r="O7" s="15">
        <v>712</v>
      </c>
      <c r="P7" s="39">
        <v>1427</v>
      </c>
      <c r="S7" s="13"/>
      <c r="T7" s="46"/>
    </row>
    <row r="8" spans="1:20" ht="13.5" thickBot="1">
      <c r="A8" s="45" t="s">
        <v>23</v>
      </c>
      <c r="B8" s="41">
        <f t="shared" si="0"/>
        <v>-0.3988187177998705</v>
      </c>
      <c r="C8" s="65">
        <f>E8-'[1]Spain'!E8</f>
        <v>-31202</v>
      </c>
      <c r="D8" s="42">
        <f>F8-'[1]Spain'!F8</f>
        <v>-30459.34889602239</v>
      </c>
      <c r="E8" s="137">
        <f aca="true" t="shared" si="1" ref="E8:J8">SUM(E2:E7)</f>
        <v>57288</v>
      </c>
      <c r="F8" s="42">
        <f t="shared" si="1"/>
        <v>95292.38799708534</v>
      </c>
      <c r="G8" s="42">
        <f t="shared" si="1"/>
        <v>62236.192839871066</v>
      </c>
      <c r="H8" s="42">
        <f t="shared" si="1"/>
        <v>71719.423168265</v>
      </c>
      <c r="I8" s="42">
        <f t="shared" si="1"/>
        <v>63132.695538891916</v>
      </c>
      <c r="J8" s="42">
        <f t="shared" si="1"/>
        <v>33305.77196048225</v>
      </c>
      <c r="K8" s="42">
        <f aca="true" t="shared" si="2" ref="K8:P8">SUM(K2:K7)</f>
        <v>67752.74592392417</v>
      </c>
      <c r="L8" s="42">
        <f t="shared" si="2"/>
        <v>49551.31371918264</v>
      </c>
      <c r="M8" s="42">
        <f t="shared" si="2"/>
        <v>46160</v>
      </c>
      <c r="N8" s="42">
        <f t="shared" si="2"/>
        <v>73721</v>
      </c>
      <c r="O8" s="42">
        <f t="shared" si="2"/>
        <v>45862</v>
      </c>
      <c r="P8" s="43">
        <f t="shared" si="2"/>
        <v>40135</v>
      </c>
      <c r="S8" s="13"/>
      <c r="T8" s="46"/>
    </row>
    <row r="9" spans="2:20" s="9" customFormat="1" ht="12.75">
      <c r="B9" s="44"/>
      <c r="C9" s="44"/>
      <c r="D9" s="44"/>
      <c r="E9" s="44"/>
      <c r="F9" s="12"/>
      <c r="G9" s="12"/>
      <c r="H9" s="12"/>
      <c r="I9" s="12"/>
      <c r="J9" s="12"/>
      <c r="K9" s="12"/>
      <c r="L9" s="12"/>
      <c r="M9" s="12"/>
      <c r="N9" s="12"/>
      <c r="S9" s="13"/>
      <c r="T9" s="46"/>
    </row>
    <row r="10" spans="2:20" s="9" customFormat="1" ht="13.5" thickBot="1">
      <c r="B10" s="44"/>
      <c r="C10" s="44"/>
      <c r="D10" s="44"/>
      <c r="E10" s="44"/>
      <c r="F10" s="12"/>
      <c r="G10" s="12"/>
      <c r="H10" s="12"/>
      <c r="I10" s="12"/>
      <c r="J10" s="12"/>
      <c r="K10" s="12"/>
      <c r="L10" s="12"/>
      <c r="M10" s="12"/>
      <c r="N10" s="12"/>
      <c r="S10" s="12"/>
      <c r="T10" s="12"/>
    </row>
    <row r="11" spans="1:16" s="16" customFormat="1" ht="13.5" thickBot="1">
      <c r="A11" s="31" t="s">
        <v>25</v>
      </c>
      <c r="B11" s="32" t="s">
        <v>176</v>
      </c>
      <c r="C11" s="62" t="s">
        <v>175</v>
      </c>
      <c r="D11" s="107" t="s">
        <v>168</v>
      </c>
      <c r="E11" s="147">
        <v>43221</v>
      </c>
      <c r="F11" s="33">
        <v>42856</v>
      </c>
      <c r="G11" s="33">
        <v>42491</v>
      </c>
      <c r="H11" s="33">
        <v>42125</v>
      </c>
      <c r="I11" s="33">
        <v>41760</v>
      </c>
      <c r="J11" s="33">
        <v>41395</v>
      </c>
      <c r="K11" s="33">
        <v>41030</v>
      </c>
      <c r="L11" s="33">
        <v>40664</v>
      </c>
      <c r="M11" s="33">
        <v>40299</v>
      </c>
      <c r="N11" s="33">
        <v>39934</v>
      </c>
      <c r="O11" s="33">
        <v>39569</v>
      </c>
      <c r="P11" s="34">
        <v>39203</v>
      </c>
    </row>
    <row r="12" spans="1:20" ht="12.75">
      <c r="A12" s="27" t="s">
        <v>38</v>
      </c>
      <c r="B12" s="35">
        <f aca="true" t="shared" si="3" ref="B12:B17">(E12-F12)/F12</f>
        <v>0.03773584905660377</v>
      </c>
      <c r="C12" s="63">
        <f>E12-'[1]Spain'!E12</f>
        <v>-476</v>
      </c>
      <c r="D12" s="13">
        <f>F12-'[1]Spain'!F12</f>
        <v>-561.7821236553427</v>
      </c>
      <c r="E12" s="148">
        <v>440</v>
      </c>
      <c r="F12" s="13">
        <v>424</v>
      </c>
      <c r="G12" s="13">
        <v>139.26667758805868</v>
      </c>
      <c r="H12" s="13">
        <v>39.1702877457117</v>
      </c>
      <c r="I12" s="13">
        <v>1110.6048561530492</v>
      </c>
      <c r="J12" s="13">
        <v>0</v>
      </c>
      <c r="K12" s="13">
        <v>1796.1608987079055</v>
      </c>
      <c r="L12" s="13">
        <v>967.825424763514</v>
      </c>
      <c r="M12" s="13">
        <v>522</v>
      </c>
      <c r="N12" s="13">
        <v>284</v>
      </c>
      <c r="O12" s="13">
        <v>287</v>
      </c>
      <c r="P12" s="37">
        <v>1653</v>
      </c>
      <c r="S12" s="16"/>
      <c r="T12" s="16"/>
    </row>
    <row r="13" spans="1:20" ht="12.75">
      <c r="A13" s="27" t="s">
        <v>39</v>
      </c>
      <c r="B13" s="35">
        <f t="shared" si="3"/>
        <v>8.693251533742332</v>
      </c>
      <c r="C13" s="63">
        <f>E13-'[1]Spain'!E13</f>
        <v>-1766</v>
      </c>
      <c r="D13" s="13">
        <f>F13-'[1]Spain'!F13</f>
        <v>-1379.234650417612</v>
      </c>
      <c r="E13" s="148">
        <v>1580</v>
      </c>
      <c r="F13" s="13">
        <v>163</v>
      </c>
      <c r="G13" s="13">
        <v>524.5225194403079</v>
      </c>
      <c r="H13" s="13">
        <v>965.5811674641468</v>
      </c>
      <c r="I13" s="13">
        <v>1389.8645323967746</v>
      </c>
      <c r="J13" s="13">
        <v>251.56493920175487</v>
      </c>
      <c r="K13" s="13">
        <v>1496.5775096917525</v>
      </c>
      <c r="L13" s="13">
        <v>2776.1818778763163</v>
      </c>
      <c r="M13" s="13">
        <v>2076</v>
      </c>
      <c r="N13" s="13">
        <v>895</v>
      </c>
      <c r="O13" s="13">
        <v>4128</v>
      </c>
      <c r="P13" s="37">
        <v>1996</v>
      </c>
      <c r="S13" s="13"/>
      <c r="T13" s="46"/>
    </row>
    <row r="14" spans="1:20" ht="12.75">
      <c r="A14" s="27" t="s">
        <v>7</v>
      </c>
      <c r="B14" s="35">
        <f t="shared" si="3"/>
        <v>0.5769407441433165</v>
      </c>
      <c r="C14" s="63">
        <f>E14-'[1]Spain'!E14</f>
        <v>-11253</v>
      </c>
      <c r="D14" s="13">
        <f>F14-'[1]Spain'!F14</f>
        <v>-9048.04275900482</v>
      </c>
      <c r="E14" s="148">
        <v>17165</v>
      </c>
      <c r="F14" s="13">
        <v>10885</v>
      </c>
      <c r="G14" s="13">
        <v>18151.950017494753</v>
      </c>
      <c r="H14" s="13">
        <v>17427.9275690449</v>
      </c>
      <c r="I14" s="13">
        <v>19470.882840444927</v>
      </c>
      <c r="J14" s="13">
        <v>4682.079374474755</v>
      </c>
      <c r="K14" s="13">
        <v>35647.406296364155</v>
      </c>
      <c r="L14" s="13">
        <v>24302.841842360544</v>
      </c>
      <c r="M14" s="13">
        <v>18299</v>
      </c>
      <c r="N14" s="13">
        <v>19579</v>
      </c>
      <c r="O14" s="13">
        <v>11982</v>
      </c>
      <c r="P14" s="37">
        <v>20883</v>
      </c>
      <c r="S14" s="13"/>
      <c r="T14" s="46"/>
    </row>
    <row r="15" spans="1:20" ht="12.75">
      <c r="A15" s="27" t="s">
        <v>112</v>
      </c>
      <c r="B15" s="35"/>
      <c r="C15" s="63">
        <f>E15-'[1]Spain'!E15</f>
        <v>0</v>
      </c>
      <c r="D15" s="13">
        <f>F15-'[1]Spain'!F15</f>
        <v>0</v>
      </c>
      <c r="E15" s="148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  <c r="O15" s="13"/>
      <c r="P15" s="37"/>
      <c r="S15" s="13"/>
      <c r="T15" s="46"/>
    </row>
    <row r="16" spans="1:20" ht="13.5" thickBot="1">
      <c r="A16" s="38" t="s">
        <v>59</v>
      </c>
      <c r="B16" s="36">
        <f t="shared" si="3"/>
        <v>-0.038560411311053984</v>
      </c>
      <c r="C16" s="64">
        <f>E16-'[1]Spain'!E16</f>
        <v>-445</v>
      </c>
      <c r="D16" s="15">
        <f>F16-'[1]Spain'!F16</f>
        <v>-321.6949393896897</v>
      </c>
      <c r="E16" s="149">
        <v>374</v>
      </c>
      <c r="F16" s="15">
        <v>389</v>
      </c>
      <c r="G16" s="15">
        <v>240.1536130779378</v>
      </c>
      <c r="H16" s="15">
        <v>26.22904396641961</v>
      </c>
      <c r="I16" s="15">
        <v>156.92056791536888</v>
      </c>
      <c r="J16" s="15">
        <v>7</v>
      </c>
      <c r="K16" s="15">
        <v>820.4694172908446</v>
      </c>
      <c r="L16" s="15">
        <v>465.4106538065244</v>
      </c>
      <c r="M16" s="15">
        <v>594</v>
      </c>
      <c r="N16" s="15">
        <v>376</v>
      </c>
      <c r="O16" s="15">
        <v>783</v>
      </c>
      <c r="P16" s="39">
        <v>1377</v>
      </c>
      <c r="S16" s="13"/>
      <c r="T16" s="46"/>
    </row>
    <row r="17" spans="1:20" ht="13.5" thickBot="1">
      <c r="A17" s="40" t="s">
        <v>23</v>
      </c>
      <c r="B17" s="41">
        <f t="shared" si="3"/>
        <v>0.6490177893938116</v>
      </c>
      <c r="C17" s="65">
        <f>E17-'[1]Spain'!E17</f>
        <v>-13940</v>
      </c>
      <c r="D17" s="42">
        <f>F17-'[1]Spain'!F17</f>
        <v>-11310.754472467466</v>
      </c>
      <c r="E17" s="137">
        <f aca="true" t="shared" si="4" ref="E17:J17">SUM(E12:E16)</f>
        <v>19559</v>
      </c>
      <c r="F17" s="42">
        <f t="shared" si="4"/>
        <v>11861</v>
      </c>
      <c r="G17" s="42">
        <f t="shared" si="4"/>
        <v>19055.89282760106</v>
      </c>
      <c r="H17" s="42">
        <f t="shared" si="4"/>
        <v>18458.90806822118</v>
      </c>
      <c r="I17" s="42">
        <f t="shared" si="4"/>
        <v>22128.272796910118</v>
      </c>
      <c r="J17" s="42">
        <f t="shared" si="4"/>
        <v>4940.64431367651</v>
      </c>
      <c r="K17" s="42">
        <f aca="true" t="shared" si="5" ref="K17:P17">SUM(K12:K16)</f>
        <v>39760.614122054656</v>
      </c>
      <c r="L17" s="42">
        <f t="shared" si="5"/>
        <v>28512.2597988069</v>
      </c>
      <c r="M17" s="42">
        <f t="shared" si="5"/>
        <v>21491</v>
      </c>
      <c r="N17" s="42">
        <f t="shared" si="5"/>
        <v>21134</v>
      </c>
      <c r="O17" s="42">
        <f t="shared" si="5"/>
        <v>17180</v>
      </c>
      <c r="P17" s="43">
        <f t="shared" si="5"/>
        <v>25909</v>
      </c>
      <c r="S17" s="13"/>
      <c r="T17" s="46"/>
    </row>
    <row r="18" spans="19:20" ht="12.75">
      <c r="S18" s="16"/>
      <c r="T18" s="16"/>
    </row>
    <row r="19" spans="19:20" ht="12.75">
      <c r="S19" s="16"/>
      <c r="T19" s="16"/>
    </row>
    <row r="20" spans="3:20" ht="14.25">
      <c r="C20" s="143"/>
      <c r="D20" s="142"/>
      <c r="E20" s="141"/>
      <c r="F20" s="142"/>
      <c r="S20" s="16"/>
      <c r="T20" s="16"/>
    </row>
    <row r="21" spans="3:6" ht="14.25">
      <c r="C21" s="140"/>
      <c r="D21" s="142"/>
      <c r="E21" s="141"/>
      <c r="F21" s="142"/>
    </row>
    <row r="22" spans="3:6" ht="14.25">
      <c r="C22" s="51"/>
      <c r="D22" s="142"/>
      <c r="E22" s="141"/>
      <c r="F22" s="142"/>
    </row>
    <row r="23" spans="3:6" ht="14.25">
      <c r="C23" s="140"/>
      <c r="D23" s="142"/>
      <c r="E23" s="141"/>
      <c r="F23" s="142"/>
    </row>
    <row r="24" spans="3:17" ht="18">
      <c r="C24" s="140"/>
      <c r="D24" s="142"/>
      <c r="E24" s="141"/>
      <c r="F24" s="142"/>
      <c r="O24" s="5"/>
      <c r="P24" s="1"/>
      <c r="Q24" s="1"/>
    </row>
    <row r="25" spans="3:17" ht="18">
      <c r="C25" s="140"/>
      <c r="D25" s="142"/>
      <c r="E25" s="141"/>
      <c r="F25" s="142"/>
      <c r="O25" s="5"/>
      <c r="P25" s="1"/>
      <c r="Q25" s="1"/>
    </row>
    <row r="26" spans="3:17" ht="18">
      <c r="C26" s="140"/>
      <c r="D26" s="142"/>
      <c r="E26" s="141"/>
      <c r="F26" s="142"/>
      <c r="O26" s="5"/>
      <c r="P26" s="1"/>
      <c r="Q26" s="1"/>
    </row>
    <row r="27" spans="3:17" ht="18">
      <c r="C27" s="144"/>
      <c r="D27" s="156"/>
      <c r="E27" s="145"/>
      <c r="F27" s="156"/>
      <c r="O27" s="5"/>
      <c r="P27" s="1"/>
      <c r="Q27" s="1"/>
    </row>
    <row r="28" spans="3:17" ht="18">
      <c r="C28" s="140"/>
      <c r="D28" s="142"/>
      <c r="E28" s="141"/>
      <c r="F28" s="142"/>
      <c r="O28" s="5"/>
      <c r="P28" s="1"/>
      <c r="Q28" s="1"/>
    </row>
    <row r="29" spans="3:17" ht="18">
      <c r="C29" s="143"/>
      <c r="D29" s="142"/>
      <c r="E29" s="141"/>
      <c r="F29" s="142"/>
      <c r="O29" s="5"/>
      <c r="P29" s="1"/>
      <c r="Q29" s="1"/>
    </row>
    <row r="30" spans="3:17" ht="18">
      <c r="C30" s="143"/>
      <c r="D30" s="142"/>
      <c r="E30" s="141"/>
      <c r="F30" s="142"/>
      <c r="O30" s="5"/>
      <c r="P30" s="1"/>
      <c r="Q30" s="1"/>
    </row>
    <row r="31" spans="3:17" ht="18">
      <c r="C31" s="140"/>
      <c r="D31" s="142"/>
      <c r="E31" s="141"/>
      <c r="F31" s="142"/>
      <c r="O31" s="5"/>
      <c r="P31" s="1"/>
      <c r="Q31" s="1"/>
    </row>
    <row r="32" spans="3:17" ht="18">
      <c r="C32" s="140"/>
      <c r="D32" s="142"/>
      <c r="E32" s="141"/>
      <c r="F32" s="142"/>
      <c r="O32" s="5"/>
      <c r="P32" s="1"/>
      <c r="Q32" s="1"/>
    </row>
    <row r="33" spans="3:17" ht="18">
      <c r="C33" s="140"/>
      <c r="D33" s="142"/>
      <c r="E33" s="141"/>
      <c r="F33" s="142"/>
      <c r="O33" s="5"/>
      <c r="P33" s="1"/>
      <c r="Q33" s="1"/>
    </row>
    <row r="34" spans="3:17" ht="18">
      <c r="C34" s="140"/>
      <c r="D34" s="142"/>
      <c r="E34" s="141"/>
      <c r="F34" s="142"/>
      <c r="O34" s="6"/>
      <c r="P34" s="1"/>
      <c r="Q34" s="1"/>
    </row>
    <row r="35" spans="3:17" ht="18.75">
      <c r="C35" s="140"/>
      <c r="D35" s="142"/>
      <c r="E35" s="141"/>
      <c r="F35" s="142"/>
      <c r="O35" s="7"/>
      <c r="P35" s="2"/>
      <c r="Q35" s="2"/>
    </row>
    <row r="36" spans="3:6" ht="15">
      <c r="C36" s="144"/>
      <c r="D36" s="156"/>
      <c r="E36" s="145"/>
      <c r="F36" s="156"/>
    </row>
    <row r="37" spans="3:6" ht="12.75">
      <c r="C37" s="16"/>
      <c r="D37" s="12"/>
      <c r="E37" s="12"/>
      <c r="F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5" width="12.00390625" style="9" customWidth="1"/>
    <col min="6" max="6" width="10.140625" style="9" bestFit="1" customWidth="1"/>
    <col min="7" max="14" width="10.140625" style="16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4</v>
      </c>
      <c r="B2" s="35"/>
      <c r="C2" s="63">
        <f>E2-'[1]Switzerland'!E2</f>
        <v>0</v>
      </c>
      <c r="D2" s="13">
        <f>F2-'[1]Switzerland'!F2</f>
        <v>0</v>
      </c>
      <c r="E2" s="148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1</v>
      </c>
      <c r="P2" s="37">
        <v>1</v>
      </c>
    </row>
    <row r="3" spans="1:16" ht="12.75">
      <c r="A3" s="27" t="s">
        <v>11</v>
      </c>
      <c r="B3" s="35">
        <f>(E3-F3)/F3</f>
        <v>-0.8368953880764904</v>
      </c>
      <c r="C3" s="63">
        <f>E3-'[1]Switzerland'!E3</f>
        <v>-879</v>
      </c>
      <c r="D3" s="13">
        <f>F3-'[1]Switzerland'!F3</f>
        <v>-1613</v>
      </c>
      <c r="E3" s="148">
        <f>431+4</f>
        <v>435</v>
      </c>
      <c r="F3" s="13">
        <v>2667</v>
      </c>
      <c r="G3" s="13">
        <v>2513</v>
      </c>
      <c r="H3" s="13">
        <v>2647</v>
      </c>
      <c r="I3" s="13">
        <v>3092</v>
      </c>
      <c r="J3" s="13">
        <v>2278</v>
      </c>
      <c r="K3" s="13">
        <v>2501</v>
      </c>
      <c r="L3" s="13">
        <v>1534</v>
      </c>
      <c r="M3" s="13">
        <v>1695</v>
      </c>
      <c r="N3" s="13">
        <v>1094</v>
      </c>
      <c r="O3" s="13">
        <v>519</v>
      </c>
      <c r="P3" s="37">
        <v>229</v>
      </c>
    </row>
    <row r="4" spans="1:16" ht="12.75">
      <c r="A4" s="27" t="s">
        <v>5</v>
      </c>
      <c r="B4" s="35"/>
      <c r="C4" s="63">
        <f>E4-'[1]Switzerland'!E4</f>
        <v>0</v>
      </c>
      <c r="D4" s="13">
        <f>F4-'[1]Switzerland'!F4</f>
        <v>0</v>
      </c>
      <c r="E4" s="148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7">
        <v>0</v>
      </c>
    </row>
    <row r="5" spans="1:16" ht="12.75">
      <c r="A5" s="27" t="s">
        <v>2</v>
      </c>
      <c r="B5" s="35"/>
      <c r="C5" s="63">
        <f>E5-'[1]Switzerland'!E5</f>
        <v>0</v>
      </c>
      <c r="D5" s="13">
        <f>F5-'[1]Switzerland'!F5</f>
        <v>0</v>
      </c>
      <c r="E5" s="148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30</v>
      </c>
      <c r="L5" s="13">
        <v>0</v>
      </c>
      <c r="M5" s="13">
        <v>0</v>
      </c>
      <c r="N5" s="13">
        <v>0</v>
      </c>
      <c r="O5" s="13">
        <v>0</v>
      </c>
      <c r="P5" s="37">
        <v>0</v>
      </c>
    </row>
    <row r="6" spans="1:16" ht="12.75">
      <c r="A6" s="27" t="s">
        <v>9</v>
      </c>
      <c r="B6" s="35">
        <f aca="true" t="shared" si="0" ref="B6:B19">(E6-F6)/F6</f>
        <v>-0.6700628658140039</v>
      </c>
      <c r="C6" s="63">
        <f>E6-'[1]Switzerland'!E6</f>
        <v>-2285</v>
      </c>
      <c r="D6" s="13">
        <f>F6-'[1]Switzerland'!F6</f>
        <v>-2267</v>
      </c>
      <c r="E6" s="148">
        <v>1522</v>
      </c>
      <c r="F6" s="13">
        <v>4613</v>
      </c>
      <c r="G6" s="13">
        <v>6581</v>
      </c>
      <c r="H6" s="13">
        <v>4730</v>
      </c>
      <c r="I6" s="13">
        <v>5986</v>
      </c>
      <c r="J6" s="13">
        <v>5077</v>
      </c>
      <c r="K6" s="13">
        <v>8074</v>
      </c>
      <c r="L6" s="13">
        <v>5654</v>
      </c>
      <c r="M6" s="13">
        <v>5865</v>
      </c>
      <c r="N6" s="13">
        <v>2201</v>
      </c>
      <c r="O6" s="13">
        <v>5090</v>
      </c>
      <c r="P6" s="37">
        <v>2664</v>
      </c>
    </row>
    <row r="7" spans="1:16" ht="12.75">
      <c r="A7" s="27" t="s">
        <v>113</v>
      </c>
      <c r="B7" s="35">
        <f t="shared" si="0"/>
        <v>-1</v>
      </c>
      <c r="C7" s="63">
        <f>E7-'[1]Switzerland'!E7</f>
        <v>-4</v>
      </c>
      <c r="D7" s="13">
        <f>F7-'[1]Switzerland'!F7</f>
        <v>-5</v>
      </c>
      <c r="E7" s="148">
        <v>0</v>
      </c>
      <c r="F7" s="13">
        <v>52</v>
      </c>
      <c r="G7" s="13">
        <v>39</v>
      </c>
      <c r="H7" s="13">
        <v>23</v>
      </c>
      <c r="I7" s="13">
        <v>60</v>
      </c>
      <c r="J7" s="13">
        <v>70</v>
      </c>
      <c r="K7" s="13">
        <v>25</v>
      </c>
      <c r="L7" s="13">
        <v>310</v>
      </c>
      <c r="M7" s="13">
        <v>3</v>
      </c>
      <c r="N7" s="13">
        <v>199</v>
      </c>
      <c r="O7" s="13">
        <v>89</v>
      </c>
      <c r="P7" s="37">
        <v>180</v>
      </c>
    </row>
    <row r="8" spans="1:16" ht="12.75">
      <c r="A8" s="29" t="s">
        <v>3</v>
      </c>
      <c r="B8" s="35">
        <f t="shared" si="0"/>
        <v>-0.5316567673448755</v>
      </c>
      <c r="C8" s="63">
        <f>E8-'[1]Switzerland'!E8</f>
        <v>-1820</v>
      </c>
      <c r="D8" s="13">
        <f>F8-'[1]Switzerland'!F8</f>
        <v>-1553</v>
      </c>
      <c r="E8" s="148">
        <v>3706</v>
      </c>
      <c r="F8" s="108">
        <v>7913</v>
      </c>
      <c r="G8" s="108">
        <v>6073</v>
      </c>
      <c r="H8" s="108">
        <v>7698</v>
      </c>
      <c r="I8" s="108">
        <v>5590</v>
      </c>
      <c r="J8" s="108">
        <v>8179</v>
      </c>
      <c r="K8" s="108">
        <v>8252</v>
      </c>
      <c r="L8" s="108">
        <v>9163</v>
      </c>
      <c r="M8" s="108">
        <v>10020</v>
      </c>
      <c r="N8" s="108">
        <v>10516</v>
      </c>
      <c r="O8" s="13">
        <v>10029</v>
      </c>
      <c r="P8" s="37">
        <v>11362</v>
      </c>
    </row>
    <row r="9" spans="1:16" ht="12.75">
      <c r="A9" s="29" t="s">
        <v>17</v>
      </c>
      <c r="B9" s="35">
        <f t="shared" si="0"/>
        <v>0</v>
      </c>
      <c r="C9" s="63">
        <f>E9-'[1]Switzerland'!E9</f>
        <v>-37</v>
      </c>
      <c r="D9" s="13">
        <f>F9-'[1]Switzerland'!F9</f>
        <v>-56</v>
      </c>
      <c r="E9" s="148">
        <v>1</v>
      </c>
      <c r="F9" s="108">
        <v>1</v>
      </c>
      <c r="G9" s="108">
        <v>1</v>
      </c>
      <c r="H9" s="108">
        <v>2</v>
      </c>
      <c r="I9" s="108">
        <v>0</v>
      </c>
      <c r="J9" s="108">
        <v>5</v>
      </c>
      <c r="K9" s="108">
        <v>0</v>
      </c>
      <c r="L9" s="108">
        <v>30</v>
      </c>
      <c r="M9" s="108">
        <v>2</v>
      </c>
      <c r="N9" s="108">
        <v>0</v>
      </c>
      <c r="O9" s="13">
        <v>0</v>
      </c>
      <c r="P9" s="37">
        <v>0</v>
      </c>
    </row>
    <row r="10" spans="1:16" ht="12.75">
      <c r="A10" s="29" t="s">
        <v>10</v>
      </c>
      <c r="B10" s="35">
        <f t="shared" si="0"/>
        <v>-0.9803921568627451</v>
      </c>
      <c r="C10" s="63">
        <f>E10-'[1]Switzerland'!E10</f>
        <v>-10</v>
      </c>
      <c r="D10" s="13">
        <f>F10-'[1]Switzerland'!F10</f>
        <v>-108</v>
      </c>
      <c r="E10" s="148">
        <v>4</v>
      </c>
      <c r="F10" s="108">
        <v>204</v>
      </c>
      <c r="G10" s="108">
        <v>607</v>
      </c>
      <c r="H10" s="108">
        <v>524</v>
      </c>
      <c r="I10" s="108">
        <v>971</v>
      </c>
      <c r="J10" s="108">
        <v>635</v>
      </c>
      <c r="K10" s="108">
        <v>462</v>
      </c>
      <c r="L10" s="108">
        <v>1768</v>
      </c>
      <c r="M10" s="108">
        <v>1199</v>
      </c>
      <c r="N10" s="108">
        <v>1682</v>
      </c>
      <c r="O10" s="13">
        <v>544</v>
      </c>
      <c r="P10" s="37">
        <v>1836</v>
      </c>
    </row>
    <row r="11" spans="1:16" ht="12.75">
      <c r="A11" s="29" t="s">
        <v>27</v>
      </c>
      <c r="B11" s="35">
        <f t="shared" si="0"/>
        <v>-1</v>
      </c>
      <c r="C11" s="63">
        <f>E11-'[1]Switzerland'!E11</f>
        <v>0</v>
      </c>
      <c r="D11" s="13">
        <f>F11-'[1]Switzerland'!F11</f>
        <v>-376</v>
      </c>
      <c r="E11" s="148">
        <v>0</v>
      </c>
      <c r="F11" s="108">
        <v>1862</v>
      </c>
      <c r="G11" s="108">
        <v>1305</v>
      </c>
      <c r="H11" s="108">
        <v>1688</v>
      </c>
      <c r="I11" s="108">
        <v>1679</v>
      </c>
      <c r="J11" s="108">
        <v>1633</v>
      </c>
      <c r="K11" s="108">
        <v>2293</v>
      </c>
      <c r="L11" s="108">
        <v>1507</v>
      </c>
      <c r="M11" s="108">
        <v>1983</v>
      </c>
      <c r="N11" s="108">
        <v>1925</v>
      </c>
      <c r="O11" s="13">
        <v>1993</v>
      </c>
      <c r="P11" s="37">
        <v>2173</v>
      </c>
    </row>
    <row r="12" spans="1:16" ht="12.75">
      <c r="A12" s="29" t="s">
        <v>114</v>
      </c>
      <c r="B12" s="35">
        <f t="shared" si="0"/>
        <v>-1</v>
      </c>
      <c r="C12" s="63">
        <f>E12-'[1]Switzerland'!E12</f>
        <v>0</v>
      </c>
      <c r="D12" s="13">
        <f>F12-'[1]Switzerland'!F12</f>
        <v>-18</v>
      </c>
      <c r="E12" s="148">
        <v>0</v>
      </c>
      <c r="F12" s="108">
        <v>32</v>
      </c>
      <c r="G12" s="108">
        <v>0</v>
      </c>
      <c r="H12" s="108">
        <v>42</v>
      </c>
      <c r="I12" s="108">
        <v>74</v>
      </c>
      <c r="J12" s="108">
        <v>0</v>
      </c>
      <c r="K12" s="108">
        <v>10</v>
      </c>
      <c r="L12" s="108">
        <v>30</v>
      </c>
      <c r="M12" s="108">
        <v>0</v>
      </c>
      <c r="N12" s="108">
        <v>0</v>
      </c>
      <c r="O12" s="13">
        <v>1</v>
      </c>
      <c r="P12" s="37">
        <v>33</v>
      </c>
    </row>
    <row r="13" spans="1:16" ht="12.75">
      <c r="A13" s="29" t="s">
        <v>115</v>
      </c>
      <c r="B13" s="35">
        <f t="shared" si="0"/>
        <v>-0.9571428571428572</v>
      </c>
      <c r="C13" s="63">
        <f>E13-'[1]Switzerland'!E13</f>
        <v>-58</v>
      </c>
      <c r="D13" s="13">
        <f>F13-'[1]Switzerland'!F13</f>
        <v>-33</v>
      </c>
      <c r="E13" s="148">
        <v>6</v>
      </c>
      <c r="F13" s="108">
        <v>140</v>
      </c>
      <c r="G13" s="108">
        <v>235</v>
      </c>
      <c r="H13" s="108">
        <v>529</v>
      </c>
      <c r="I13" s="108">
        <v>471</v>
      </c>
      <c r="J13" s="108">
        <v>898</v>
      </c>
      <c r="K13" s="108">
        <v>1132</v>
      </c>
      <c r="L13" s="108">
        <v>2753</v>
      </c>
      <c r="M13" s="108">
        <v>2565</v>
      </c>
      <c r="N13" s="108">
        <v>2046</v>
      </c>
      <c r="O13" s="13">
        <v>2709</v>
      </c>
      <c r="P13" s="37">
        <v>4252</v>
      </c>
    </row>
    <row r="14" spans="1:16" ht="12.75">
      <c r="A14" s="29" t="s">
        <v>13</v>
      </c>
      <c r="B14" s="35">
        <f t="shared" si="0"/>
        <v>-1</v>
      </c>
      <c r="C14" s="63">
        <f>E14-'[1]Switzerland'!E14</f>
        <v>0</v>
      </c>
      <c r="D14" s="13">
        <f>F14-'[1]Switzerland'!F14</f>
        <v>-12</v>
      </c>
      <c r="E14" s="148">
        <v>0</v>
      </c>
      <c r="F14" s="108">
        <v>99</v>
      </c>
      <c r="G14" s="108">
        <v>45</v>
      </c>
      <c r="H14" s="108">
        <v>9</v>
      </c>
      <c r="I14" s="108">
        <v>168</v>
      </c>
      <c r="J14" s="108">
        <v>375</v>
      </c>
      <c r="K14" s="108">
        <v>473</v>
      </c>
      <c r="L14" s="108">
        <v>347</v>
      </c>
      <c r="M14" s="108">
        <v>312</v>
      </c>
      <c r="N14" s="108">
        <v>190</v>
      </c>
      <c r="O14" s="13">
        <v>250</v>
      </c>
      <c r="P14" s="37">
        <v>200</v>
      </c>
    </row>
    <row r="15" spans="1:16" ht="12.75">
      <c r="A15" s="29" t="s">
        <v>116</v>
      </c>
      <c r="B15" s="35"/>
      <c r="C15" s="63">
        <f>E15-'[1]Switzerland'!E15</f>
        <v>0</v>
      </c>
      <c r="D15" s="13">
        <f>F15-'[1]Switzerland'!F15</f>
        <v>0</v>
      </c>
      <c r="E15" s="14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3">
        <v>0</v>
      </c>
      <c r="P15" s="37">
        <v>0</v>
      </c>
    </row>
    <row r="16" spans="1:16" ht="12.75">
      <c r="A16" s="29" t="s">
        <v>97</v>
      </c>
      <c r="B16" s="35">
        <f t="shared" si="0"/>
        <v>-1</v>
      </c>
      <c r="C16" s="63">
        <f>E16-'[1]Switzerland'!E16</f>
        <v>-5</v>
      </c>
      <c r="D16" s="13">
        <f>F16-'[1]Switzerland'!F16</f>
        <v>-65</v>
      </c>
      <c r="E16" s="148">
        <v>0</v>
      </c>
      <c r="F16" s="108">
        <v>48</v>
      </c>
      <c r="G16" s="108">
        <v>82</v>
      </c>
      <c r="H16" s="108">
        <v>37</v>
      </c>
      <c r="I16" s="108">
        <v>322</v>
      </c>
      <c r="J16" s="108">
        <v>116</v>
      </c>
      <c r="K16" s="108">
        <v>452</v>
      </c>
      <c r="L16" s="108">
        <v>174</v>
      </c>
      <c r="M16" s="108">
        <v>342</v>
      </c>
      <c r="N16" s="108">
        <v>105</v>
      </c>
      <c r="O16" s="13">
        <v>150</v>
      </c>
      <c r="P16" s="37">
        <v>128</v>
      </c>
    </row>
    <row r="17" spans="1:16" ht="12.75">
      <c r="A17" s="53" t="s">
        <v>88</v>
      </c>
      <c r="B17" s="35">
        <f t="shared" si="0"/>
        <v>-0.525022475277195</v>
      </c>
      <c r="C17" s="63">
        <f>E17-'[1]Switzerland'!E17</f>
        <v>-1106</v>
      </c>
      <c r="D17" s="13">
        <f>F17-'[1]Switzerland'!F17</f>
        <v>-1585</v>
      </c>
      <c r="E17" s="148">
        <v>1585</v>
      </c>
      <c r="F17" s="108">
        <v>3337</v>
      </c>
      <c r="G17" s="108">
        <v>3205</v>
      </c>
      <c r="H17" s="108">
        <v>4900</v>
      </c>
      <c r="I17" s="108">
        <v>3785</v>
      </c>
      <c r="J17" s="108">
        <v>1829</v>
      </c>
      <c r="K17" s="108">
        <v>2519</v>
      </c>
      <c r="L17" s="108">
        <v>668</v>
      </c>
      <c r="M17" s="108">
        <f>7+123+746</f>
        <v>876</v>
      </c>
      <c r="N17" s="108">
        <v>322</v>
      </c>
      <c r="O17" s="13">
        <v>183</v>
      </c>
      <c r="P17" s="37">
        <v>54</v>
      </c>
    </row>
    <row r="18" spans="1:16" ht="13.5" thickBot="1">
      <c r="A18" s="30" t="s">
        <v>59</v>
      </c>
      <c r="B18" s="36">
        <f t="shared" si="0"/>
        <v>-0.877445339470656</v>
      </c>
      <c r="C18" s="64">
        <f>E18-'[1]Switzerland'!E18</f>
        <v>-231</v>
      </c>
      <c r="D18" s="15">
        <f>F18-'[1]Switzerland'!F18</f>
        <v>-521</v>
      </c>
      <c r="E18" s="149">
        <f>41+123+47+2</f>
        <v>213</v>
      </c>
      <c r="F18" s="109">
        <v>1738</v>
      </c>
      <c r="G18" s="109">
        <v>491</v>
      </c>
      <c r="H18" s="109">
        <v>352</v>
      </c>
      <c r="I18" s="109">
        <v>548</v>
      </c>
      <c r="J18" s="109">
        <v>179</v>
      </c>
      <c r="K18" s="109">
        <v>351</v>
      </c>
      <c r="L18" s="109">
        <v>163</v>
      </c>
      <c r="M18" s="109">
        <v>333</v>
      </c>
      <c r="N18" s="109">
        <v>171</v>
      </c>
      <c r="O18" s="15">
        <v>270</v>
      </c>
      <c r="P18" s="39">
        <v>193</v>
      </c>
    </row>
    <row r="19" spans="1:16" ht="13.5" thickBot="1">
      <c r="A19" s="45" t="s">
        <v>23</v>
      </c>
      <c r="B19" s="41">
        <f t="shared" si="0"/>
        <v>-0.6709239848498194</v>
      </c>
      <c r="C19" s="65">
        <f>E19-'[1]Switzerland'!E19</f>
        <v>-6435</v>
      </c>
      <c r="D19" s="42">
        <f>F19-'[1]Switzerland'!F19</f>
        <v>-8212</v>
      </c>
      <c r="E19" s="137">
        <f aca="true" t="shared" si="1" ref="E19:J19">SUM(E2:E18)</f>
        <v>7472</v>
      </c>
      <c r="F19" s="42">
        <f t="shared" si="1"/>
        <v>22706</v>
      </c>
      <c r="G19" s="42">
        <f t="shared" si="1"/>
        <v>21177</v>
      </c>
      <c r="H19" s="42">
        <f t="shared" si="1"/>
        <v>23181</v>
      </c>
      <c r="I19" s="42">
        <f t="shared" si="1"/>
        <v>22746</v>
      </c>
      <c r="J19" s="42">
        <f t="shared" si="1"/>
        <v>21274</v>
      </c>
      <c r="K19" s="42">
        <f aca="true" t="shared" si="2" ref="K19:P19">SUM(K2:K18)</f>
        <v>26574</v>
      </c>
      <c r="L19" s="42">
        <f t="shared" si="2"/>
        <v>24101</v>
      </c>
      <c r="M19" s="42">
        <f t="shared" si="2"/>
        <v>25195</v>
      </c>
      <c r="N19" s="42">
        <f t="shared" si="2"/>
        <v>20451</v>
      </c>
      <c r="O19" s="42">
        <f t="shared" si="2"/>
        <v>21828</v>
      </c>
      <c r="P19" s="43">
        <f t="shared" si="2"/>
        <v>23305</v>
      </c>
    </row>
    <row r="20" spans="2:14" s="9" customFormat="1" ht="12.75">
      <c r="B20" s="44"/>
      <c r="C20" s="44"/>
      <c r="D20" s="44"/>
      <c r="E20" s="44"/>
      <c r="F20" s="12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12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176</v>
      </c>
      <c r="C22" s="62" t="s">
        <v>175</v>
      </c>
      <c r="D22" s="107" t="s">
        <v>168</v>
      </c>
      <c r="E22" s="147">
        <v>43221</v>
      </c>
      <c r="F22" s="33">
        <v>42856</v>
      </c>
      <c r="G22" s="33">
        <v>42491</v>
      </c>
      <c r="H22" s="33">
        <v>42125</v>
      </c>
      <c r="I22" s="33">
        <v>41760</v>
      </c>
      <c r="J22" s="33">
        <v>41395</v>
      </c>
      <c r="K22" s="33">
        <v>41030</v>
      </c>
      <c r="L22" s="33">
        <v>40664</v>
      </c>
      <c r="M22" s="33">
        <v>40299</v>
      </c>
      <c r="N22" s="33">
        <v>39934</v>
      </c>
      <c r="O22" s="33">
        <v>39569</v>
      </c>
      <c r="P22" s="34">
        <v>39203</v>
      </c>
    </row>
    <row r="23" spans="1:16" ht="12.75">
      <c r="A23" s="27" t="s">
        <v>117</v>
      </c>
      <c r="B23" s="35">
        <f aca="true" t="shared" si="3" ref="B23:B28">(E23-F23)/F23</f>
        <v>-1</v>
      </c>
      <c r="C23" s="63">
        <f>E23-'[1]Switzerland'!E23</f>
        <v>0</v>
      </c>
      <c r="D23" s="13">
        <f>F23-'[1]Switzerland'!F23</f>
        <v>-297</v>
      </c>
      <c r="E23" s="148">
        <v>0</v>
      </c>
      <c r="F23" s="13">
        <v>1</v>
      </c>
      <c r="G23" s="13">
        <v>33</v>
      </c>
      <c r="H23" s="13">
        <v>508</v>
      </c>
      <c r="I23" s="13">
        <v>96</v>
      </c>
      <c r="J23" s="13">
        <v>0</v>
      </c>
      <c r="K23" s="13">
        <v>296</v>
      </c>
      <c r="L23" s="13">
        <v>0</v>
      </c>
      <c r="M23" s="13">
        <v>99</v>
      </c>
      <c r="N23" s="13">
        <v>0</v>
      </c>
      <c r="O23" s="13">
        <v>68</v>
      </c>
      <c r="P23" s="37">
        <v>0</v>
      </c>
    </row>
    <row r="24" spans="1:16" ht="12.75">
      <c r="A24" s="27" t="s">
        <v>7</v>
      </c>
      <c r="B24" s="35">
        <f t="shared" si="3"/>
        <v>-1</v>
      </c>
      <c r="C24" s="63">
        <f>E24-'[1]Switzerland'!E24</f>
        <v>0</v>
      </c>
      <c r="D24" s="13">
        <f>F24-'[1]Switzerland'!F24</f>
        <v>-63</v>
      </c>
      <c r="E24" s="148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586</v>
      </c>
      <c r="L24" s="13">
        <v>0</v>
      </c>
      <c r="M24" s="13">
        <v>55</v>
      </c>
      <c r="N24" s="13">
        <v>0</v>
      </c>
      <c r="O24" s="13">
        <v>147</v>
      </c>
      <c r="P24" s="37">
        <v>0</v>
      </c>
    </row>
    <row r="25" spans="1:16" ht="12.75">
      <c r="A25" s="27" t="s">
        <v>118</v>
      </c>
      <c r="B25" s="35">
        <f t="shared" si="3"/>
        <v>-1</v>
      </c>
      <c r="C25" s="63">
        <f>E25-'[1]Switzerland'!E25</f>
        <v>0</v>
      </c>
      <c r="D25" s="13">
        <f>F25-'[1]Switzerland'!F25</f>
        <v>-19</v>
      </c>
      <c r="E25" s="148">
        <v>0</v>
      </c>
      <c r="F25" s="13">
        <v>1</v>
      </c>
      <c r="G25" s="13">
        <v>0</v>
      </c>
      <c r="H25" s="13">
        <v>1</v>
      </c>
      <c r="I25" s="13">
        <v>0</v>
      </c>
      <c r="J25" s="13">
        <v>0</v>
      </c>
      <c r="K25" s="13">
        <v>203</v>
      </c>
      <c r="L25" s="13">
        <v>0</v>
      </c>
      <c r="M25" s="13">
        <v>1</v>
      </c>
      <c r="N25" s="13">
        <v>0</v>
      </c>
      <c r="O25" s="13">
        <v>45</v>
      </c>
      <c r="P25" s="37">
        <v>0</v>
      </c>
    </row>
    <row r="26" spans="1:16" ht="12.75">
      <c r="A26" s="27" t="s">
        <v>143</v>
      </c>
      <c r="B26" s="35"/>
      <c r="C26" s="63">
        <f>E26-'[1]Switzerland'!E26</f>
        <v>0</v>
      </c>
      <c r="D26" s="13">
        <f>F26-'[1]Switzerland'!F26</f>
        <v>0</v>
      </c>
      <c r="E26" s="148">
        <v>0</v>
      </c>
      <c r="F26" s="13"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37"/>
    </row>
    <row r="27" spans="1:16" ht="13.5" thickBot="1">
      <c r="A27" s="38" t="s">
        <v>59</v>
      </c>
      <c r="B27" s="36"/>
      <c r="C27" s="64">
        <f>E27-'[1]Switzerland'!E27</f>
        <v>0</v>
      </c>
      <c r="D27" s="15">
        <f>F27-'[1]Switzerland'!F27</f>
        <v>-45</v>
      </c>
      <c r="E27" s="149">
        <v>0</v>
      </c>
      <c r="F27" s="15">
        <v>0</v>
      </c>
      <c r="G27" s="15">
        <v>0</v>
      </c>
      <c r="H27" s="15">
        <v>23</v>
      </c>
      <c r="I27" s="15">
        <v>0</v>
      </c>
      <c r="J27" s="15">
        <v>0</v>
      </c>
      <c r="K27" s="15">
        <v>47</v>
      </c>
      <c r="L27" s="15">
        <v>0</v>
      </c>
      <c r="M27" s="15">
        <v>13</v>
      </c>
      <c r="N27" s="15">
        <v>0</v>
      </c>
      <c r="O27" s="15">
        <v>33</v>
      </c>
      <c r="P27" s="39">
        <v>1</v>
      </c>
    </row>
    <row r="28" spans="1:16" ht="13.5" thickBot="1">
      <c r="A28" s="40" t="s">
        <v>23</v>
      </c>
      <c r="B28" s="41">
        <f t="shared" si="3"/>
        <v>-1</v>
      </c>
      <c r="C28" s="65">
        <f>E28-'[1]Switzerland'!E28</f>
        <v>0</v>
      </c>
      <c r="D28" s="42">
        <f>F28-'[1]Switzerland'!F28</f>
        <v>-424</v>
      </c>
      <c r="E28" s="137">
        <v>0</v>
      </c>
      <c r="F28" s="42">
        <f>SUM(F23:F27)</f>
        <v>3</v>
      </c>
      <c r="G28" s="42">
        <f>SUM(G23:G27)</f>
        <v>33</v>
      </c>
      <c r="H28" s="42">
        <f>SUM(H23:H27)</f>
        <v>532</v>
      </c>
      <c r="I28" s="42">
        <f>SUM(I23:I27)</f>
        <v>96</v>
      </c>
      <c r="J28" s="42">
        <f>SUM(J23:J27)</f>
        <v>0</v>
      </c>
      <c r="K28" s="42">
        <f aca="true" t="shared" si="4" ref="K28:P28">SUM(K23:K27)</f>
        <v>1132</v>
      </c>
      <c r="L28" s="42">
        <f t="shared" si="4"/>
        <v>0</v>
      </c>
      <c r="M28" s="42">
        <f t="shared" si="4"/>
        <v>168</v>
      </c>
      <c r="N28" s="42">
        <f t="shared" si="4"/>
        <v>0</v>
      </c>
      <c r="O28" s="42">
        <f t="shared" si="4"/>
        <v>293</v>
      </c>
      <c r="P28" s="43">
        <f t="shared" si="4"/>
        <v>1</v>
      </c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  <col min="18" max="18" width="11.00390625" style="0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4</v>
      </c>
      <c r="B2" s="35">
        <f>(E2-F2)/F2</f>
        <v>-1</v>
      </c>
      <c r="C2" s="63">
        <f>E2-'[1]Netherlands'!E2</f>
        <v>-58</v>
      </c>
      <c r="D2" s="13">
        <f>F2-'[1]Netherlands'!F2</f>
        <v>-731</v>
      </c>
      <c r="E2" s="148">
        <v>0</v>
      </c>
      <c r="F2" s="13">
        <v>351</v>
      </c>
      <c r="G2" s="13">
        <v>867</v>
      </c>
      <c r="H2" s="13">
        <v>806</v>
      </c>
      <c r="I2" s="13">
        <v>1000</v>
      </c>
      <c r="J2" s="13">
        <v>0</v>
      </c>
      <c r="K2" s="13">
        <v>0</v>
      </c>
      <c r="L2" s="13">
        <v>0</v>
      </c>
      <c r="M2" s="13">
        <v>0</v>
      </c>
      <c r="N2" s="13">
        <v>2000</v>
      </c>
      <c r="O2" s="13">
        <v>0</v>
      </c>
      <c r="P2" s="37">
        <v>1000</v>
      </c>
    </row>
    <row r="3" spans="1:16" ht="12.75">
      <c r="A3" s="27" t="s">
        <v>2</v>
      </c>
      <c r="B3" s="35">
        <f aca="true" t="shared" si="0" ref="B3:B8">(E3-F3)/F3</f>
        <v>-0.7070165714285714</v>
      </c>
      <c r="C3" s="63">
        <f>E3-'[1]Netherlands'!E3</f>
        <v>-7635.79</v>
      </c>
      <c r="D3" s="13">
        <f>F3-'[1]Netherlands'!F3</f>
        <v>-11085</v>
      </c>
      <c r="E3" s="148">
        <v>5127.21</v>
      </c>
      <c r="F3" s="13">
        <v>17500</v>
      </c>
      <c r="G3" s="13">
        <v>19264</v>
      </c>
      <c r="H3" s="13">
        <v>23869</v>
      </c>
      <c r="I3" s="13">
        <v>19000</v>
      </c>
      <c r="J3" s="13">
        <v>9000</v>
      </c>
      <c r="K3" s="13">
        <v>21000</v>
      </c>
      <c r="L3" s="13">
        <v>12000</v>
      </c>
      <c r="M3" s="13">
        <v>21000</v>
      </c>
      <c r="N3" s="13">
        <v>20000</v>
      </c>
      <c r="O3" s="13">
        <v>17000</v>
      </c>
      <c r="P3" s="37">
        <v>19000</v>
      </c>
    </row>
    <row r="4" spans="1:16" ht="12.75">
      <c r="A4" s="27" t="s">
        <v>3</v>
      </c>
      <c r="B4" s="35">
        <f t="shared" si="0"/>
        <v>-0.26347404593959123</v>
      </c>
      <c r="C4" s="63">
        <f>E4-'[1]Netherlands'!E4</f>
        <v>-981.748</v>
      </c>
      <c r="D4" s="13">
        <f>F4-'[1]Netherlands'!F4</f>
        <v>-1037</v>
      </c>
      <c r="E4" s="148">
        <v>4072.252</v>
      </c>
      <c r="F4" s="13">
        <v>5529</v>
      </c>
      <c r="G4" s="13">
        <v>5923</v>
      </c>
      <c r="H4" s="13">
        <v>6319</v>
      </c>
      <c r="I4" s="13">
        <v>7000</v>
      </c>
      <c r="J4" s="13">
        <v>7000</v>
      </c>
      <c r="K4" s="13">
        <v>7000</v>
      </c>
      <c r="L4" s="13">
        <v>6000</v>
      </c>
      <c r="M4" s="13">
        <v>8000</v>
      </c>
      <c r="N4" s="13">
        <v>10000</v>
      </c>
      <c r="O4" s="13">
        <v>8000</v>
      </c>
      <c r="P4" s="37">
        <v>9000</v>
      </c>
    </row>
    <row r="5" spans="1:16" ht="12.75">
      <c r="A5" s="29" t="s">
        <v>108</v>
      </c>
      <c r="B5" s="35">
        <f t="shared" si="0"/>
        <v>-0.4599514536340852</v>
      </c>
      <c r="C5" s="63">
        <f>E5-'[1]Netherlands'!E5</f>
        <v>-4101.062999999998</v>
      </c>
      <c r="D5" s="13">
        <f>F5-'[1]Netherlands'!F5</f>
        <v>-7637</v>
      </c>
      <c r="E5" s="148">
        <v>21547.937</v>
      </c>
      <c r="F5" s="108">
        <v>39900</v>
      </c>
      <c r="G5" s="108">
        <v>37161</v>
      </c>
      <c r="H5" s="108">
        <v>41193</v>
      </c>
      <c r="I5" s="108">
        <v>38000</v>
      </c>
      <c r="J5" s="108">
        <v>32000</v>
      </c>
      <c r="K5" s="108">
        <v>56000</v>
      </c>
      <c r="L5" s="108">
        <v>32000</v>
      </c>
      <c r="M5" s="108">
        <v>57000</v>
      </c>
      <c r="N5" s="108">
        <v>56000</v>
      </c>
      <c r="O5" s="13">
        <v>47000</v>
      </c>
      <c r="P5" s="37">
        <v>47000</v>
      </c>
    </row>
    <row r="6" spans="1:16" ht="12.75">
      <c r="A6" s="29" t="s">
        <v>136</v>
      </c>
      <c r="B6" s="35">
        <f t="shared" si="0"/>
        <v>-0.7643080306789983</v>
      </c>
      <c r="C6" s="63">
        <f>E6-'[1]Netherlands'!E6</f>
        <v>-4298.71</v>
      </c>
      <c r="D6" s="13">
        <f>F6-'[1]Netherlands'!F6</f>
        <v>-2201</v>
      </c>
      <c r="E6" s="148">
        <v>4179.29</v>
      </c>
      <c r="F6" s="108">
        <v>17732</v>
      </c>
      <c r="G6" s="108">
        <v>11737</v>
      </c>
      <c r="H6" s="108">
        <v>12206</v>
      </c>
      <c r="I6" s="108">
        <v>8000</v>
      </c>
      <c r="J6" s="108"/>
      <c r="K6" s="108"/>
      <c r="L6" s="108"/>
      <c r="M6" s="108"/>
      <c r="N6" s="108"/>
      <c r="O6" s="13"/>
      <c r="P6" s="37"/>
    </row>
    <row r="7" spans="1:16" ht="13.5" thickBot="1">
      <c r="A7" s="86" t="s">
        <v>59</v>
      </c>
      <c r="B7" s="36">
        <f t="shared" si="0"/>
        <v>-0.043092400000000086</v>
      </c>
      <c r="C7" s="64">
        <f>E7-'[1]Netherlands'!E7</f>
        <v>-1518.7310000000002</v>
      </c>
      <c r="D7" s="15">
        <f>F7-'[1]Netherlands'!F7</f>
        <v>-1515</v>
      </c>
      <c r="E7" s="149">
        <v>2392.269</v>
      </c>
      <c r="F7" s="109">
        <v>2500</v>
      </c>
      <c r="G7" s="109">
        <v>1821</v>
      </c>
      <c r="H7" s="109">
        <v>2266</v>
      </c>
      <c r="I7" s="109">
        <v>4000</v>
      </c>
      <c r="J7" s="109">
        <v>7000</v>
      </c>
      <c r="K7" s="109">
        <v>11000</v>
      </c>
      <c r="L7" s="109">
        <v>8000</v>
      </c>
      <c r="M7" s="109">
        <v>8000</v>
      </c>
      <c r="N7" s="109">
        <v>1000</v>
      </c>
      <c r="O7" s="15">
        <v>0</v>
      </c>
      <c r="P7" s="39">
        <v>2000</v>
      </c>
    </row>
    <row r="8" spans="1:16" ht="13.5" thickBot="1">
      <c r="A8" s="45" t="s">
        <v>23</v>
      </c>
      <c r="B8" s="41">
        <f t="shared" si="0"/>
        <v>-0.553130592010729</v>
      </c>
      <c r="C8" s="65">
        <f>E8-'[1]Netherlands'!E8</f>
        <v>-18594.042</v>
      </c>
      <c r="D8" s="42">
        <f>F8-'[1]Netherlands'!F8</f>
        <v>-24206</v>
      </c>
      <c r="E8" s="137">
        <v>37318.958</v>
      </c>
      <c r="F8" s="42">
        <v>83512</v>
      </c>
      <c r="G8" s="42">
        <v>76773</v>
      </c>
      <c r="H8" s="42">
        <v>86659</v>
      </c>
      <c r="I8" s="42">
        <f aca="true" t="shared" si="1" ref="I8:P8">SUM(I2:I7)</f>
        <v>77000</v>
      </c>
      <c r="J8" s="42">
        <f t="shared" si="1"/>
        <v>55000</v>
      </c>
      <c r="K8" s="42">
        <f t="shared" si="1"/>
        <v>95000</v>
      </c>
      <c r="L8" s="42">
        <f t="shared" si="1"/>
        <v>58000</v>
      </c>
      <c r="M8" s="42">
        <f t="shared" si="1"/>
        <v>94000</v>
      </c>
      <c r="N8" s="42">
        <f t="shared" si="1"/>
        <v>89000</v>
      </c>
      <c r="O8" s="42">
        <f t="shared" si="1"/>
        <v>72000</v>
      </c>
      <c r="P8" s="43">
        <f t="shared" si="1"/>
        <v>78000</v>
      </c>
    </row>
    <row r="9" spans="2:14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176</v>
      </c>
      <c r="C11" s="62" t="s">
        <v>175</v>
      </c>
      <c r="D11" s="107" t="s">
        <v>168</v>
      </c>
      <c r="E11" s="147">
        <v>43221</v>
      </c>
      <c r="F11" s="33">
        <v>42856</v>
      </c>
      <c r="G11" s="33">
        <v>42491</v>
      </c>
      <c r="H11" s="33">
        <v>42125</v>
      </c>
      <c r="I11" s="33">
        <v>41760</v>
      </c>
      <c r="J11" s="33">
        <v>41395</v>
      </c>
      <c r="K11" s="33">
        <v>41030</v>
      </c>
      <c r="L11" s="33">
        <v>40664</v>
      </c>
      <c r="M11" s="33">
        <v>40299</v>
      </c>
      <c r="N11" s="33">
        <v>39934</v>
      </c>
      <c r="O11" s="33">
        <v>39569</v>
      </c>
      <c r="P11" s="34">
        <v>39203</v>
      </c>
    </row>
    <row r="12" spans="1:16" ht="12.75">
      <c r="A12" s="27" t="s">
        <v>7</v>
      </c>
      <c r="B12" s="35">
        <f>(E12-F12)/F12</f>
        <v>-0.12167324916524555</v>
      </c>
      <c r="C12" s="63">
        <f>E12-'[1]Netherlands'!E12</f>
        <v>-29656.481</v>
      </c>
      <c r="D12" s="13">
        <f>F12-'[1]Netherlands'!F12</f>
        <v>-28216</v>
      </c>
      <c r="E12" s="148">
        <v>61290.519</v>
      </c>
      <c r="F12" s="13">
        <v>69781</v>
      </c>
      <c r="G12" s="13">
        <v>62952</v>
      </c>
      <c r="H12" s="13">
        <v>53848</v>
      </c>
      <c r="I12" s="13">
        <v>45000</v>
      </c>
      <c r="J12" s="13">
        <v>25000</v>
      </c>
      <c r="K12" s="13">
        <v>46000</v>
      </c>
      <c r="L12" s="13">
        <v>39000</v>
      </c>
      <c r="M12" s="13">
        <v>43000</v>
      </c>
      <c r="N12" s="13">
        <v>12000</v>
      </c>
      <c r="O12" s="13">
        <v>23000</v>
      </c>
      <c r="P12" s="37">
        <v>34000</v>
      </c>
    </row>
    <row r="13" spans="1:16" ht="12.75">
      <c r="A13" s="27" t="s">
        <v>101</v>
      </c>
      <c r="B13" s="35"/>
      <c r="C13" s="63">
        <f>E13-'[1]Netherlands'!E13</f>
        <v>0</v>
      </c>
      <c r="D13" s="13">
        <f>F13-'[1]Netherlands'!F13</f>
        <v>-35</v>
      </c>
      <c r="E13" s="148">
        <v>0</v>
      </c>
      <c r="F13" s="13">
        <v>0</v>
      </c>
      <c r="G13" s="13">
        <v>0</v>
      </c>
      <c r="H13" s="13">
        <v>0</v>
      </c>
      <c r="I13" s="13">
        <v>0</v>
      </c>
      <c r="J13" s="13"/>
      <c r="K13" s="13"/>
      <c r="L13" s="13"/>
      <c r="M13" s="13"/>
      <c r="N13" s="13"/>
      <c r="O13" s="13"/>
      <c r="P13" s="37"/>
    </row>
    <row r="14" spans="1:16" ht="13.5" thickBot="1">
      <c r="A14" s="38" t="s">
        <v>6</v>
      </c>
      <c r="B14" s="36"/>
      <c r="C14" s="64">
        <f>E14-'[1]Netherlands'!E14</f>
        <v>-1484</v>
      </c>
      <c r="D14" s="15">
        <f>F14-'[1]Netherlands'!F14</f>
        <v>-1837</v>
      </c>
      <c r="E14" s="149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39"/>
    </row>
    <row r="15" spans="1:16" ht="13.5" thickBot="1">
      <c r="A15" s="40" t="s">
        <v>23</v>
      </c>
      <c r="B15" s="41">
        <f>(E15-F15)/F15</f>
        <v>-0.12167324916524555</v>
      </c>
      <c r="C15" s="65">
        <f>E15-'[1]Netherlands'!E15</f>
        <v>-31140.481</v>
      </c>
      <c r="D15" s="42">
        <f>F15-'[1]Netherlands'!F15</f>
        <v>-30088</v>
      </c>
      <c r="E15" s="137">
        <v>61290.519</v>
      </c>
      <c r="F15" s="42">
        <v>69781</v>
      </c>
      <c r="G15" s="42">
        <v>62952</v>
      </c>
      <c r="H15" s="42">
        <v>53848</v>
      </c>
      <c r="I15" s="42">
        <f>SUM(I12:I14)</f>
        <v>45000</v>
      </c>
      <c r="J15" s="42">
        <f>SUM(J12:J14)</f>
        <v>25000</v>
      </c>
      <c r="K15" s="42">
        <f aca="true" t="shared" si="2" ref="K15:P15">SUM(K12:K14)</f>
        <v>46000</v>
      </c>
      <c r="L15" s="42">
        <f t="shared" si="2"/>
        <v>39000</v>
      </c>
      <c r="M15" s="42">
        <f t="shared" si="2"/>
        <v>43000</v>
      </c>
      <c r="N15" s="42">
        <f t="shared" si="2"/>
        <v>12000</v>
      </c>
      <c r="O15" s="42">
        <f t="shared" si="2"/>
        <v>23000</v>
      </c>
      <c r="P15" s="43">
        <f t="shared" si="2"/>
        <v>34000</v>
      </c>
    </row>
    <row r="22" spans="15:17" ht="18">
      <c r="O22" s="5"/>
      <c r="P22" s="1"/>
      <c r="Q22" s="1"/>
    </row>
    <row r="23" spans="15:17" ht="18">
      <c r="O23" s="5"/>
      <c r="P23" s="1"/>
      <c r="Q23" s="1"/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6"/>
      <c r="P32" s="1"/>
      <c r="Q32" s="1"/>
    </row>
    <row r="33" spans="15:17" ht="18.75">
      <c r="O33" s="7"/>
      <c r="P33" s="2"/>
      <c r="Q3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5742187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2" t="s">
        <v>92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53" t="s">
        <v>11</v>
      </c>
      <c r="B2" s="60"/>
      <c r="C2" s="101">
        <f>E2-'[1]UK'!E2</f>
        <v>-1247</v>
      </c>
      <c r="D2" s="90">
        <f>F2-'[1]UK'!F2</f>
        <v>-5410</v>
      </c>
      <c r="E2" s="56">
        <v>375</v>
      </c>
      <c r="F2" s="90"/>
      <c r="G2" s="90">
        <v>800</v>
      </c>
      <c r="H2" s="90">
        <v>100</v>
      </c>
      <c r="I2" s="90">
        <v>1000</v>
      </c>
      <c r="J2" s="90">
        <v>0</v>
      </c>
      <c r="K2" s="90">
        <v>800</v>
      </c>
      <c r="L2" s="90">
        <v>0</v>
      </c>
      <c r="M2" s="90">
        <v>200</v>
      </c>
      <c r="N2" s="90">
        <v>0</v>
      </c>
      <c r="O2" s="51">
        <v>400</v>
      </c>
      <c r="P2" s="81"/>
    </row>
    <row r="3" spans="1:16" ht="12.75">
      <c r="A3" s="53" t="s">
        <v>36</v>
      </c>
      <c r="B3" s="60"/>
      <c r="C3" s="101">
        <f>E3-'[1]UK'!E3</f>
        <v>-15645</v>
      </c>
      <c r="D3" s="90">
        <f>F3-'[1]UK'!F3</f>
        <v>-19850</v>
      </c>
      <c r="E3" s="56">
        <v>2355</v>
      </c>
      <c r="F3" s="90"/>
      <c r="G3" s="90">
        <v>9000</v>
      </c>
      <c r="H3" s="90">
        <v>19500</v>
      </c>
      <c r="I3" s="90">
        <v>20000</v>
      </c>
      <c r="J3" s="90">
        <v>7000</v>
      </c>
      <c r="K3" s="90">
        <v>16000</v>
      </c>
      <c r="L3" s="90">
        <v>16000</v>
      </c>
      <c r="M3" s="90">
        <v>18000</v>
      </c>
      <c r="N3" s="90">
        <v>20000</v>
      </c>
      <c r="O3" s="51">
        <v>11000</v>
      </c>
      <c r="P3" s="81">
        <v>20000</v>
      </c>
    </row>
    <row r="4" spans="1:16" ht="12.75">
      <c r="A4" s="53" t="s">
        <v>29</v>
      </c>
      <c r="B4" s="60"/>
      <c r="C4" s="101">
        <f>E4-'[1]UK'!E4</f>
        <v>-256</v>
      </c>
      <c r="D4" s="90">
        <f>F4-'[1]UK'!F4</f>
        <v>0</v>
      </c>
      <c r="E4" s="56">
        <v>0</v>
      </c>
      <c r="F4" s="90"/>
      <c r="G4" s="90">
        <v>850</v>
      </c>
      <c r="H4" s="90">
        <v>100</v>
      </c>
      <c r="I4" s="90">
        <v>0</v>
      </c>
      <c r="J4" s="90">
        <v>0</v>
      </c>
      <c r="K4" s="90">
        <v>0</v>
      </c>
      <c r="L4" s="90">
        <v>0</v>
      </c>
      <c r="M4" s="90">
        <v>50</v>
      </c>
      <c r="N4" s="90"/>
      <c r="O4" s="51"/>
      <c r="P4" s="81"/>
    </row>
    <row r="5" spans="1:16" ht="12.75">
      <c r="A5" s="53" t="s">
        <v>5</v>
      </c>
      <c r="B5" s="60"/>
      <c r="C5" s="101">
        <f>E5-'[1]UK'!E5</f>
        <v>-53</v>
      </c>
      <c r="D5" s="90">
        <f>F5-'[1]UK'!F5</f>
        <v>-210</v>
      </c>
      <c r="E5" s="56">
        <v>0</v>
      </c>
      <c r="F5" s="90"/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/>
      <c r="O5" s="51"/>
      <c r="P5" s="81"/>
    </row>
    <row r="6" spans="1:16" ht="12.75">
      <c r="A6" s="53" t="s">
        <v>9</v>
      </c>
      <c r="B6" s="60"/>
      <c r="C6" s="101">
        <f>E6-'[1]UK'!E6</f>
        <v>-4297</v>
      </c>
      <c r="D6" s="90">
        <f>F6-'[1]UK'!F6</f>
        <v>-5540</v>
      </c>
      <c r="E6" s="56">
        <v>2243</v>
      </c>
      <c r="F6" s="90"/>
      <c r="G6" s="90">
        <v>2500</v>
      </c>
      <c r="H6" s="90">
        <v>0</v>
      </c>
      <c r="I6" s="90">
        <v>1500</v>
      </c>
      <c r="J6" s="90">
        <v>0</v>
      </c>
      <c r="K6" s="90">
        <v>200</v>
      </c>
      <c r="L6" s="90">
        <v>0</v>
      </c>
      <c r="M6" s="90">
        <v>150</v>
      </c>
      <c r="N6" s="90"/>
      <c r="O6" s="51"/>
      <c r="P6" s="81"/>
    </row>
    <row r="7" spans="1:17" ht="12.75">
      <c r="A7" s="53" t="s">
        <v>27</v>
      </c>
      <c r="B7" s="60"/>
      <c r="C7" s="101">
        <f>E7-'[1]UK'!E7</f>
        <v>0</v>
      </c>
      <c r="D7" s="90">
        <f>F7-'[1]UK'!F7</f>
        <v>0</v>
      </c>
      <c r="E7" s="56">
        <v>0</v>
      </c>
      <c r="F7" s="90"/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/>
      <c r="O7" s="51"/>
      <c r="P7" s="81"/>
      <c r="Q7" s="1"/>
    </row>
    <row r="8" spans="1:16" ht="12.75">
      <c r="A8" s="53" t="s">
        <v>26</v>
      </c>
      <c r="B8" s="60"/>
      <c r="C8" s="101">
        <f>E8-'[1]UK'!E8</f>
        <v>-256</v>
      </c>
      <c r="D8" s="90">
        <f>F8-'[1]UK'!F8</f>
        <v>0</v>
      </c>
      <c r="E8" s="56">
        <v>0</v>
      </c>
      <c r="F8" s="90"/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/>
      <c r="O8" s="51"/>
      <c r="P8" s="81"/>
    </row>
    <row r="9" spans="1:16" ht="12.75">
      <c r="A9" s="53" t="s">
        <v>35</v>
      </c>
      <c r="B9" s="60"/>
      <c r="C9" s="101">
        <f>E9-'[1]UK'!E9</f>
        <v>0</v>
      </c>
      <c r="D9" s="90">
        <f>F9-'[1]UK'!F9</f>
        <v>0</v>
      </c>
      <c r="E9" s="56">
        <v>0</v>
      </c>
      <c r="F9" s="90"/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/>
      <c r="O9" s="51"/>
      <c r="P9" s="81"/>
    </row>
    <row r="10" spans="1:16" ht="12.75">
      <c r="A10" s="53" t="s">
        <v>136</v>
      </c>
      <c r="B10" s="60"/>
      <c r="C10" s="101">
        <f>E10-'[1]UK'!E10</f>
        <v>-1204</v>
      </c>
      <c r="D10" s="90">
        <f>F10-'[1]UK'!F10</f>
        <v>0</v>
      </c>
      <c r="E10" s="56">
        <v>155</v>
      </c>
      <c r="F10" s="90"/>
      <c r="G10" s="90">
        <v>700</v>
      </c>
      <c r="H10" s="90">
        <v>600</v>
      </c>
      <c r="I10" s="90">
        <v>500</v>
      </c>
      <c r="J10" s="90">
        <v>0</v>
      </c>
      <c r="K10" s="90">
        <v>300</v>
      </c>
      <c r="L10" s="90">
        <v>0</v>
      </c>
      <c r="M10" s="90">
        <v>100</v>
      </c>
      <c r="N10" s="90"/>
      <c r="O10" s="51"/>
      <c r="P10" s="81"/>
    </row>
    <row r="11" spans="1:16" ht="13.5" thickBot="1">
      <c r="A11" s="54" t="s">
        <v>6</v>
      </c>
      <c r="B11" s="61"/>
      <c r="C11" s="101">
        <f>E11-'[1]UK'!E11</f>
        <v>0</v>
      </c>
      <c r="D11" s="90">
        <f>F11-'[1]UK'!F11</f>
        <v>-2410</v>
      </c>
      <c r="E11" s="56">
        <v>0</v>
      </c>
      <c r="F11" s="91"/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50</v>
      </c>
      <c r="N11" s="90"/>
      <c r="O11" s="51"/>
      <c r="P11" s="82"/>
    </row>
    <row r="12" spans="1:16" ht="13.5" thickBot="1">
      <c r="A12" s="55" t="s">
        <v>93</v>
      </c>
      <c r="B12" s="105"/>
      <c r="C12" s="87">
        <f>E12-'[1]UK'!E12</f>
        <v>-22958</v>
      </c>
      <c r="D12" s="123">
        <f>F12-'[1]UK'!F12</f>
        <v>-33420</v>
      </c>
      <c r="E12" s="58">
        <f>SUM(E2:E11)</f>
        <v>5128</v>
      </c>
      <c r="F12" s="123"/>
      <c r="G12" s="123">
        <f>SUM(G2:G11)</f>
        <v>13850</v>
      </c>
      <c r="H12" s="123">
        <f>SUM(H2:H11)</f>
        <v>20300</v>
      </c>
      <c r="I12" s="123">
        <f>SUM(I2:I11)</f>
        <v>23000</v>
      </c>
      <c r="J12" s="123">
        <f>SUM(J2:J11)</f>
        <v>7000</v>
      </c>
      <c r="K12" s="123">
        <f aca="true" t="shared" si="0" ref="K12:P12">SUM(K2:K11)</f>
        <v>17300</v>
      </c>
      <c r="L12" s="123">
        <f t="shared" si="0"/>
        <v>16000</v>
      </c>
      <c r="M12" s="123">
        <f t="shared" si="0"/>
        <v>18550</v>
      </c>
      <c r="N12" s="123">
        <f t="shared" si="0"/>
        <v>20000</v>
      </c>
      <c r="O12" s="59">
        <f t="shared" si="0"/>
        <v>11400</v>
      </c>
      <c r="P12" s="43">
        <f t="shared" si="0"/>
        <v>20000</v>
      </c>
    </row>
    <row r="14" spans="2:16" ht="13.5" thickBot="1">
      <c r="B14" s="3"/>
      <c r="C14" s="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3"/>
      <c r="P14" s="3"/>
    </row>
    <row r="15" spans="1:16" s="68" customFormat="1" ht="13.5" thickBot="1">
      <c r="A15" s="67" t="s">
        <v>92</v>
      </c>
      <c r="B15" s="32" t="s">
        <v>176</v>
      </c>
      <c r="C15" s="62" t="s">
        <v>175</v>
      </c>
      <c r="D15" s="107" t="s">
        <v>168</v>
      </c>
      <c r="E15" s="147">
        <v>43221</v>
      </c>
      <c r="F15" s="33">
        <v>42856</v>
      </c>
      <c r="G15" s="33">
        <v>42491</v>
      </c>
      <c r="H15" s="33">
        <v>42125</v>
      </c>
      <c r="I15" s="33">
        <v>41760</v>
      </c>
      <c r="J15" s="33">
        <v>41395</v>
      </c>
      <c r="K15" s="33">
        <v>41030</v>
      </c>
      <c r="L15" s="33">
        <v>40664</v>
      </c>
      <c r="M15" s="33">
        <v>40299</v>
      </c>
      <c r="N15" s="33">
        <v>39934</v>
      </c>
      <c r="O15" s="33">
        <v>39569</v>
      </c>
      <c r="P15" s="34">
        <v>39203</v>
      </c>
    </row>
    <row r="16" spans="1:16" s="66" customFormat="1" ht="12.75">
      <c r="A16" s="69" t="s">
        <v>7</v>
      </c>
      <c r="B16" s="70"/>
      <c r="C16" s="99">
        <f>E16-'[1]UK'!E16</f>
        <v>-898</v>
      </c>
      <c r="D16" s="95">
        <f>F16-'[1]UK'!F16</f>
        <v>-2150</v>
      </c>
      <c r="E16" s="71">
        <v>0</v>
      </c>
      <c r="F16" s="95"/>
      <c r="G16" s="95">
        <v>750</v>
      </c>
      <c r="H16" s="95">
        <v>800</v>
      </c>
      <c r="I16" s="95">
        <v>1500</v>
      </c>
      <c r="J16" s="95">
        <v>900</v>
      </c>
      <c r="K16" s="95">
        <v>1300</v>
      </c>
      <c r="L16" s="95">
        <v>1500</v>
      </c>
      <c r="M16" s="95">
        <v>1200</v>
      </c>
      <c r="N16" s="95">
        <v>500</v>
      </c>
      <c r="O16" s="72">
        <v>300</v>
      </c>
      <c r="P16" s="83">
        <v>0</v>
      </c>
    </row>
    <row r="17" spans="1:16" s="66" customFormat="1" ht="12.75">
      <c r="A17" s="69" t="s">
        <v>94</v>
      </c>
      <c r="B17" s="70"/>
      <c r="C17" s="99">
        <f>E17-'[1]UK'!E17</f>
        <v>0</v>
      </c>
      <c r="D17" s="95">
        <f>F17-'[1]UK'!F17</f>
        <v>0</v>
      </c>
      <c r="E17" s="71">
        <v>0</v>
      </c>
      <c r="F17" s="95"/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72">
        <v>0</v>
      </c>
      <c r="P17" s="83">
        <v>0</v>
      </c>
    </row>
    <row r="18" spans="1:16" s="66" customFormat="1" ht="13.5" thickBot="1">
      <c r="A18" s="73" t="s">
        <v>6</v>
      </c>
      <c r="B18" s="74"/>
      <c r="C18" s="99">
        <f>E18-'[1]UK'!E18</f>
        <v>0</v>
      </c>
      <c r="D18" s="95">
        <f>F18-'[1]UK'!F18</f>
        <v>0</v>
      </c>
      <c r="E18" s="71">
        <v>0</v>
      </c>
      <c r="F18" s="96"/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76">
        <v>0</v>
      </c>
      <c r="P18" s="84">
        <v>0</v>
      </c>
    </row>
    <row r="19" spans="1:16" s="66" customFormat="1" ht="13.5" thickBot="1">
      <c r="A19" s="77" t="s">
        <v>93</v>
      </c>
      <c r="B19" s="78"/>
      <c r="C19" s="116">
        <f>E19-'[1]UK'!E19</f>
        <v>-898</v>
      </c>
      <c r="D19" s="113">
        <f>F19-'[1]UK'!F19</f>
        <v>-2150</v>
      </c>
      <c r="E19" s="79">
        <v>0</v>
      </c>
      <c r="F19" s="113"/>
      <c r="G19" s="113">
        <f>SUM(G16:G18)</f>
        <v>750</v>
      </c>
      <c r="H19" s="113">
        <v>800</v>
      </c>
      <c r="I19" s="113">
        <f>SUM(I16:I18)</f>
        <v>1500</v>
      </c>
      <c r="J19" s="113">
        <f>SUM(J16:J18)</f>
        <v>900</v>
      </c>
      <c r="K19" s="113">
        <f aca="true" t="shared" si="1" ref="K19:P19">SUM(K16:K18)</f>
        <v>1300</v>
      </c>
      <c r="L19" s="113">
        <f t="shared" si="1"/>
        <v>1500</v>
      </c>
      <c r="M19" s="113">
        <f t="shared" si="1"/>
        <v>1200</v>
      </c>
      <c r="N19" s="113">
        <f t="shared" si="1"/>
        <v>500</v>
      </c>
      <c r="O19" s="114">
        <f t="shared" si="1"/>
        <v>300</v>
      </c>
      <c r="P19" s="115">
        <f t="shared" si="1"/>
        <v>0</v>
      </c>
    </row>
    <row r="20" spans="1:14" s="66" customFormat="1" ht="12.75">
      <c r="A20" s="66" t="s">
        <v>179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s="66" customFormat="1" ht="12.75">
      <c r="A21" s="68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4:14" s="66" customFormat="1" ht="12.75"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71093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21" ht="12.75">
      <c r="A2" s="27" t="s">
        <v>11</v>
      </c>
      <c r="B2" s="35">
        <f>(E2-F2)/F2</f>
        <v>-0.31347265451311696</v>
      </c>
      <c r="C2" s="63">
        <f>E2-'[1]US'!E2</f>
        <v>-1810</v>
      </c>
      <c r="D2" s="13">
        <f>F2-'[1]US'!F2</f>
        <v>-2972</v>
      </c>
      <c r="E2" s="148">
        <v>1544</v>
      </c>
      <c r="F2" s="13">
        <v>2249</v>
      </c>
      <c r="G2" s="13">
        <v>305</v>
      </c>
      <c r="H2" s="13">
        <v>10233</v>
      </c>
      <c r="I2" s="13">
        <v>591</v>
      </c>
      <c r="J2" s="13">
        <v>3830</v>
      </c>
      <c r="K2" s="13">
        <v>2477</v>
      </c>
      <c r="L2" s="13">
        <v>13453.720508166969</v>
      </c>
      <c r="M2" s="13">
        <v>7984.573502722323</v>
      </c>
      <c r="N2" s="13">
        <v>13834.845735027224</v>
      </c>
      <c r="O2" s="13">
        <v>7984.573502722323</v>
      </c>
      <c r="P2" s="37">
        <v>5602.540834845735</v>
      </c>
      <c r="T2" s="13"/>
      <c r="U2" s="46"/>
    </row>
    <row r="3" spans="1:21" ht="12.75">
      <c r="A3" s="27" t="s">
        <v>33</v>
      </c>
      <c r="B3" s="35">
        <f aca="true" t="shared" si="0" ref="B3:B26">(E3-F3)/F3</f>
        <v>0.8025210084033614</v>
      </c>
      <c r="C3" s="63">
        <f>E3-'[1]US'!E3</f>
        <v>-419</v>
      </c>
      <c r="D3" s="13">
        <f>F3-'[1]US'!F3</f>
        <v>-382</v>
      </c>
      <c r="E3" s="148">
        <v>858</v>
      </c>
      <c r="F3" s="13">
        <v>476</v>
      </c>
      <c r="G3" s="13">
        <v>896</v>
      </c>
      <c r="H3" s="13">
        <v>838</v>
      </c>
      <c r="I3" s="13">
        <v>838</v>
      </c>
      <c r="J3" s="13">
        <v>0</v>
      </c>
      <c r="K3" s="13">
        <v>324</v>
      </c>
      <c r="L3" s="13">
        <v>533.5753176043557</v>
      </c>
      <c r="M3" s="13">
        <v>533.5753176043557</v>
      </c>
      <c r="N3" s="13">
        <v>1276.7695099818511</v>
      </c>
      <c r="O3" s="13">
        <v>686.0254083484574</v>
      </c>
      <c r="P3" s="37">
        <v>343.0127041742287</v>
      </c>
      <c r="T3" s="13"/>
      <c r="U3" s="46"/>
    </row>
    <row r="4" spans="1:21" ht="12.75">
      <c r="A4" s="27" t="s">
        <v>49</v>
      </c>
      <c r="B4" s="35">
        <f t="shared" si="0"/>
        <v>0.6183206106870229</v>
      </c>
      <c r="C4" s="63">
        <f>E4-'[1]US'!E4</f>
        <v>-5317</v>
      </c>
      <c r="D4" s="13">
        <f>F4-'[1]US'!F4</f>
        <v>-2897</v>
      </c>
      <c r="E4" s="148">
        <v>5088</v>
      </c>
      <c r="F4" s="13">
        <v>3144</v>
      </c>
      <c r="G4" s="13">
        <v>2477</v>
      </c>
      <c r="H4" s="13">
        <v>4097</v>
      </c>
      <c r="I4" s="13">
        <v>6727</v>
      </c>
      <c r="J4" s="13">
        <v>210</v>
      </c>
      <c r="K4" s="13">
        <v>3849</v>
      </c>
      <c r="L4" s="13">
        <v>2858.439201451906</v>
      </c>
      <c r="M4" s="13">
        <v>8746.823956442831</v>
      </c>
      <c r="N4" s="13">
        <v>8232.304900181489</v>
      </c>
      <c r="O4" s="13">
        <v>5411.978221415608</v>
      </c>
      <c r="P4" s="37">
        <v>9756.805807622504</v>
      </c>
      <c r="T4" s="13"/>
      <c r="U4" s="46"/>
    </row>
    <row r="5" spans="1:21" ht="12.75">
      <c r="A5" s="27" t="s">
        <v>12</v>
      </c>
      <c r="B5" s="35">
        <f t="shared" si="0"/>
        <v>0.3691746641074856</v>
      </c>
      <c r="C5" s="63">
        <f>E5-'[1]US'!E5</f>
        <v>-30909</v>
      </c>
      <c r="D5" s="13">
        <f>F5-'[1]US'!F5</f>
        <v>-28927</v>
      </c>
      <c r="E5" s="148">
        <v>107001</v>
      </c>
      <c r="F5" s="13">
        <v>78150</v>
      </c>
      <c r="G5" s="13">
        <v>58083</v>
      </c>
      <c r="H5" s="13">
        <v>81180</v>
      </c>
      <c r="I5" s="13">
        <v>63572</v>
      </c>
      <c r="J5" s="13">
        <v>96272</v>
      </c>
      <c r="K5" s="13">
        <v>55606</v>
      </c>
      <c r="L5" s="13">
        <v>82208.7114337568</v>
      </c>
      <c r="M5" s="13">
        <v>51852.08711433757</v>
      </c>
      <c r="N5" s="13">
        <v>75138.8384754991</v>
      </c>
      <c r="O5" s="13">
        <v>41294.91833030853</v>
      </c>
      <c r="P5" s="37">
        <v>41733.212341197825</v>
      </c>
      <c r="T5" s="13"/>
      <c r="U5" s="46"/>
    </row>
    <row r="6" spans="1:21" ht="12.75">
      <c r="A6" s="27" t="s">
        <v>9</v>
      </c>
      <c r="B6" s="35">
        <f t="shared" si="0"/>
        <v>0.2010169710058504</v>
      </c>
      <c r="C6" s="63">
        <f>E6-'[1]US'!E6</f>
        <v>-56121</v>
      </c>
      <c r="D6" s="13">
        <f>F6-'[1]US'!F6</f>
        <v>-59513</v>
      </c>
      <c r="E6" s="148">
        <v>149039</v>
      </c>
      <c r="F6" s="13">
        <v>124094</v>
      </c>
      <c r="G6" s="13">
        <v>80570</v>
      </c>
      <c r="H6" s="13">
        <v>130955</v>
      </c>
      <c r="I6" s="13">
        <v>80227</v>
      </c>
      <c r="J6" s="13">
        <v>94348</v>
      </c>
      <c r="K6" s="13">
        <v>69670</v>
      </c>
      <c r="L6" s="13">
        <v>60179.67332123412</v>
      </c>
      <c r="M6" s="13">
        <v>57264.06533575318</v>
      </c>
      <c r="N6" s="13">
        <v>49584.39201451906</v>
      </c>
      <c r="O6" s="13">
        <v>31576.22504537205</v>
      </c>
      <c r="P6" s="37">
        <v>25459.165154264974</v>
      </c>
      <c r="T6" s="13"/>
      <c r="U6" s="46"/>
    </row>
    <row r="7" spans="1:21" ht="12.75">
      <c r="A7" s="27" t="s">
        <v>3</v>
      </c>
      <c r="B7" s="35">
        <f t="shared" si="0"/>
        <v>0.2179718591653437</v>
      </c>
      <c r="C7" s="63">
        <f>E7-'[1]US'!E7</f>
        <v>-16808</v>
      </c>
      <c r="D7" s="13">
        <f>F7-'[1]US'!F7</f>
        <v>-12634</v>
      </c>
      <c r="E7" s="148">
        <v>56006</v>
      </c>
      <c r="F7" s="13">
        <v>45983</v>
      </c>
      <c r="G7" s="13">
        <v>60313</v>
      </c>
      <c r="H7" s="13">
        <v>95415</v>
      </c>
      <c r="I7" s="13">
        <v>80246</v>
      </c>
      <c r="J7" s="13">
        <v>85925</v>
      </c>
      <c r="K7" s="13">
        <v>70623</v>
      </c>
      <c r="L7" s="13">
        <v>72909.25589836661</v>
      </c>
      <c r="M7" s="13">
        <v>74624.31941923776</v>
      </c>
      <c r="N7" s="13">
        <v>103380.21778584392</v>
      </c>
      <c r="O7" s="13">
        <v>76320.32667876588</v>
      </c>
      <c r="P7" s="37">
        <v>56254.0834845735</v>
      </c>
      <c r="T7" s="13"/>
      <c r="U7" s="46"/>
    </row>
    <row r="8" spans="1:21" ht="12.75">
      <c r="A8" s="27" t="s">
        <v>17</v>
      </c>
      <c r="B8" s="35">
        <f t="shared" si="0"/>
        <v>1.5339185192252647</v>
      </c>
      <c r="C8" s="63">
        <f>E8-'[1]US'!E8</f>
        <v>-33216</v>
      </c>
      <c r="D8" s="13">
        <f>F8-'[1]US'!F8</f>
        <v>-29308</v>
      </c>
      <c r="E8" s="148">
        <v>159348</v>
      </c>
      <c r="F8" s="13">
        <v>62886</v>
      </c>
      <c r="G8" s="13">
        <v>115614</v>
      </c>
      <c r="H8" s="13">
        <v>102847</v>
      </c>
      <c r="I8" s="13">
        <v>103094</v>
      </c>
      <c r="J8" s="13">
        <v>78378</v>
      </c>
      <c r="K8" s="13">
        <v>75691</v>
      </c>
      <c r="L8" s="13">
        <v>72528.13067150635</v>
      </c>
      <c r="M8" s="13">
        <v>65896.55172413793</v>
      </c>
      <c r="N8" s="13">
        <v>106333.93829401089</v>
      </c>
      <c r="O8" s="13">
        <v>61666.06170598911</v>
      </c>
      <c r="P8" s="37">
        <v>77101.6333938294</v>
      </c>
      <c r="T8" s="13"/>
      <c r="U8" s="46"/>
    </row>
    <row r="9" spans="1:21" ht="12.75">
      <c r="A9" s="27" t="s">
        <v>162</v>
      </c>
      <c r="B9" s="35">
        <f t="shared" si="0"/>
        <v>1.8630330588669042</v>
      </c>
      <c r="C9" s="63">
        <f>E9-'[1]US'!E9</f>
        <v>-17912</v>
      </c>
      <c r="D9" s="13">
        <f>F9-'[1]US'!F9</f>
        <v>-11510</v>
      </c>
      <c r="E9" s="148">
        <v>46593</v>
      </c>
      <c r="F9" s="13">
        <v>16274</v>
      </c>
      <c r="G9" s="13">
        <v>20638</v>
      </c>
      <c r="H9" s="13">
        <v>5831</v>
      </c>
      <c r="I9" s="13">
        <v>1353</v>
      </c>
      <c r="J9" s="13">
        <v>57</v>
      </c>
      <c r="K9" s="13"/>
      <c r="L9" s="13"/>
      <c r="M9" s="13"/>
      <c r="N9" s="13"/>
      <c r="O9" s="13"/>
      <c r="P9" s="37"/>
      <c r="T9" s="13"/>
      <c r="U9" s="46"/>
    </row>
    <row r="10" spans="1:21" ht="12.75">
      <c r="A10" s="28" t="s">
        <v>10</v>
      </c>
      <c r="B10" s="35">
        <f t="shared" si="0"/>
        <v>-0.40216771249286937</v>
      </c>
      <c r="C10" s="63">
        <f>E10-'[1]US'!E10</f>
        <v>-153</v>
      </c>
      <c r="D10" s="13">
        <f>F10-'[1]US'!F10</f>
        <v>-57</v>
      </c>
      <c r="E10" s="148">
        <v>1048</v>
      </c>
      <c r="F10" s="108">
        <v>1753</v>
      </c>
      <c r="G10" s="108">
        <v>896</v>
      </c>
      <c r="H10" s="108">
        <v>2230</v>
      </c>
      <c r="I10" s="108">
        <v>4250</v>
      </c>
      <c r="J10" s="108">
        <v>324</v>
      </c>
      <c r="K10" s="108">
        <v>3068</v>
      </c>
      <c r="L10" s="108">
        <v>133.39382940108894</v>
      </c>
      <c r="M10" s="108">
        <v>2686.9328493647913</v>
      </c>
      <c r="N10" s="108">
        <v>3601.633393829401</v>
      </c>
      <c r="O10" s="13">
        <v>1905.6261343012704</v>
      </c>
      <c r="P10" s="37">
        <v>1657.8947368421052</v>
      </c>
      <c r="T10" s="13"/>
      <c r="U10" s="46"/>
    </row>
    <row r="11" spans="1:21" ht="12.75">
      <c r="A11" s="28" t="s">
        <v>27</v>
      </c>
      <c r="B11" s="35">
        <f t="shared" si="0"/>
        <v>-0.15983704768751497</v>
      </c>
      <c r="C11" s="63">
        <f>E11-'[1]US'!E11</f>
        <v>-1087</v>
      </c>
      <c r="D11" s="13">
        <f>F11-'[1]US'!F11</f>
        <v>-1849</v>
      </c>
      <c r="E11" s="148">
        <v>3506</v>
      </c>
      <c r="F11" s="108">
        <v>4173</v>
      </c>
      <c r="G11" s="108">
        <v>1639</v>
      </c>
      <c r="H11" s="108">
        <v>5164</v>
      </c>
      <c r="I11" s="108">
        <v>4955</v>
      </c>
      <c r="J11" s="108">
        <v>2763</v>
      </c>
      <c r="K11" s="108">
        <v>2973</v>
      </c>
      <c r="L11" s="108">
        <v>3773.1397459165155</v>
      </c>
      <c r="M11" s="108">
        <v>2858.439201451906</v>
      </c>
      <c r="N11" s="108">
        <v>514.519056261343</v>
      </c>
      <c r="O11" s="13">
        <v>514.519056261343</v>
      </c>
      <c r="P11" s="37">
        <v>1905.6261343012704</v>
      </c>
      <c r="T11" s="13"/>
      <c r="U11" s="46"/>
    </row>
    <row r="12" spans="1:21" ht="12.75">
      <c r="A12" s="28" t="s">
        <v>50</v>
      </c>
      <c r="B12" s="35">
        <f t="shared" si="0"/>
        <v>-1</v>
      </c>
      <c r="C12" s="63">
        <f>E12-'[1]US'!E12</f>
        <v>0</v>
      </c>
      <c r="D12" s="13">
        <f>F12-'[1]US'!F12</f>
        <v>-57</v>
      </c>
      <c r="E12" s="148">
        <v>0</v>
      </c>
      <c r="F12" s="108">
        <v>172</v>
      </c>
      <c r="G12" s="108">
        <v>210</v>
      </c>
      <c r="H12" s="108">
        <v>896</v>
      </c>
      <c r="I12" s="108">
        <v>877</v>
      </c>
      <c r="J12" s="108">
        <v>0</v>
      </c>
      <c r="K12" s="108">
        <v>1162</v>
      </c>
      <c r="L12" s="108">
        <v>381.1252268602541</v>
      </c>
      <c r="M12" s="108">
        <v>4135.208711433756</v>
      </c>
      <c r="N12" s="108">
        <v>571.6878402903811</v>
      </c>
      <c r="O12" s="13">
        <v>876.5880217785844</v>
      </c>
      <c r="P12" s="37">
        <v>590.7441016333938</v>
      </c>
      <c r="T12" s="13"/>
      <c r="U12" s="46"/>
    </row>
    <row r="13" spans="1:21" ht="12.75">
      <c r="A13" s="28" t="s">
        <v>51</v>
      </c>
      <c r="B13" s="35">
        <f t="shared" si="0"/>
        <v>0.4074427480916031</v>
      </c>
      <c r="C13" s="63">
        <f>E13-'[1]US'!E13</f>
        <v>-5069</v>
      </c>
      <c r="D13" s="13">
        <f>F13-'[1]US'!F13</f>
        <v>-3964</v>
      </c>
      <c r="E13" s="148">
        <v>7375</v>
      </c>
      <c r="F13" s="108">
        <v>5240</v>
      </c>
      <c r="G13" s="108">
        <v>8270</v>
      </c>
      <c r="H13" s="108">
        <v>11720</v>
      </c>
      <c r="I13" s="108">
        <v>9681</v>
      </c>
      <c r="J13" s="108">
        <v>400</v>
      </c>
      <c r="K13" s="108">
        <v>6193</v>
      </c>
      <c r="L13" s="108">
        <v>2744.1016333938296</v>
      </c>
      <c r="M13" s="108">
        <v>9566.243194192377</v>
      </c>
      <c r="N13" s="108">
        <v>8956.44283121597</v>
      </c>
      <c r="O13" s="13">
        <v>5373.865698729583</v>
      </c>
      <c r="P13" s="37">
        <v>6326.678765880218</v>
      </c>
      <c r="T13" s="13"/>
      <c r="U13" s="46"/>
    </row>
    <row r="14" spans="1:21" ht="12.75">
      <c r="A14" s="28" t="s">
        <v>52</v>
      </c>
      <c r="B14" s="35">
        <f t="shared" si="0"/>
        <v>0.4994535519125683</v>
      </c>
      <c r="C14" s="63">
        <f>E14-'[1]US'!E14</f>
        <v>-153</v>
      </c>
      <c r="D14" s="13">
        <f>F14-'[1]US'!F14</f>
        <v>-152</v>
      </c>
      <c r="E14" s="148">
        <v>1372</v>
      </c>
      <c r="F14" s="108">
        <v>915</v>
      </c>
      <c r="G14" s="108">
        <v>419</v>
      </c>
      <c r="H14" s="108">
        <v>667</v>
      </c>
      <c r="I14" s="108">
        <v>1124</v>
      </c>
      <c r="J14" s="108">
        <v>495</v>
      </c>
      <c r="K14" s="108">
        <v>1505</v>
      </c>
      <c r="L14" s="108">
        <v>1696.0072595281306</v>
      </c>
      <c r="M14" s="108">
        <v>2039.0199637023593</v>
      </c>
      <c r="N14" s="108">
        <v>2248.638838475499</v>
      </c>
      <c r="O14" s="13">
        <v>2858.439201451906</v>
      </c>
      <c r="P14" s="37">
        <v>1657.8947368421052</v>
      </c>
      <c r="T14" s="13"/>
      <c r="U14" s="46"/>
    </row>
    <row r="15" spans="1:21" ht="12.75">
      <c r="A15" s="28" t="s">
        <v>53</v>
      </c>
      <c r="B15" s="35"/>
      <c r="C15" s="63">
        <f>E15-'[1]US'!E15</f>
        <v>0</v>
      </c>
      <c r="D15" s="13">
        <f>F15-'[1]US'!F15</f>
        <v>0</v>
      </c>
      <c r="E15" s="14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495</v>
      </c>
      <c r="L15" s="108">
        <v>1009.9818511796733</v>
      </c>
      <c r="M15" s="108">
        <v>400.1814882032668</v>
      </c>
      <c r="N15" s="108">
        <v>724.1379310344828</v>
      </c>
      <c r="O15" s="13">
        <v>0</v>
      </c>
      <c r="P15" s="37">
        <v>57.168784029038115</v>
      </c>
      <c r="T15" s="13"/>
      <c r="U15" s="46"/>
    </row>
    <row r="16" spans="1:21" ht="12.75">
      <c r="A16" s="28" t="s">
        <v>54</v>
      </c>
      <c r="B16" s="35"/>
      <c r="C16" s="63">
        <f>E16-'[1]US'!E16</f>
        <v>0</v>
      </c>
      <c r="D16" s="13">
        <f>F16-'[1]US'!F16</f>
        <v>0</v>
      </c>
      <c r="E16" s="148">
        <v>0</v>
      </c>
      <c r="F16" s="108">
        <v>0</v>
      </c>
      <c r="G16" s="108">
        <v>0</v>
      </c>
      <c r="H16" s="108">
        <v>0</v>
      </c>
      <c r="I16" s="108">
        <v>248</v>
      </c>
      <c r="J16" s="108">
        <v>19</v>
      </c>
      <c r="K16" s="108">
        <v>0</v>
      </c>
      <c r="L16" s="108">
        <v>0</v>
      </c>
      <c r="M16" s="108">
        <v>19.056261343012704</v>
      </c>
      <c r="N16" s="108">
        <v>0</v>
      </c>
      <c r="O16" s="13">
        <v>19.056261343012704</v>
      </c>
      <c r="P16" s="37">
        <v>19.056261343012704</v>
      </c>
      <c r="T16" s="13"/>
      <c r="U16" s="46"/>
    </row>
    <row r="17" spans="1:21" ht="12.75">
      <c r="A17" s="29" t="s">
        <v>22</v>
      </c>
      <c r="B17" s="35">
        <f t="shared" si="0"/>
        <v>-0.1793878516249634</v>
      </c>
      <c r="C17" s="63">
        <f>E17-'[1]US'!E17</f>
        <v>-12405</v>
      </c>
      <c r="D17" s="13">
        <f>F17-'[1]US'!F17</f>
        <v>-11529</v>
      </c>
      <c r="E17" s="148">
        <v>36436</v>
      </c>
      <c r="F17" s="13">
        <v>44401</v>
      </c>
      <c r="G17" s="13">
        <v>30071</v>
      </c>
      <c r="H17" s="13">
        <v>25993</v>
      </c>
      <c r="I17" s="13">
        <v>17379</v>
      </c>
      <c r="J17" s="13">
        <v>16026</v>
      </c>
      <c r="K17" s="13">
        <v>11053</v>
      </c>
      <c r="L17" s="13">
        <v>14139.745916515427</v>
      </c>
      <c r="M17" s="13">
        <v>17226.860254083484</v>
      </c>
      <c r="N17" s="13">
        <v>11357.531760435571</v>
      </c>
      <c r="O17" s="13">
        <v>11910.16333938294</v>
      </c>
      <c r="P17" s="37">
        <v>4001.814882032668</v>
      </c>
      <c r="T17" s="13"/>
      <c r="U17" s="46"/>
    </row>
    <row r="18" spans="1:21" ht="12.75">
      <c r="A18" s="28" t="s">
        <v>19</v>
      </c>
      <c r="B18" s="35">
        <f t="shared" si="0"/>
        <v>-0.2563308618549734</v>
      </c>
      <c r="C18" s="63">
        <f>E18-'[1]US'!E18</f>
        <v>-69498</v>
      </c>
      <c r="D18" s="13">
        <f>F18-'[1]US'!F18</f>
        <v>-78168</v>
      </c>
      <c r="E18" s="148">
        <v>228885</v>
      </c>
      <c r="F18" s="108">
        <v>307778</v>
      </c>
      <c r="G18" s="108">
        <v>219414</v>
      </c>
      <c r="H18" s="108">
        <v>343146</v>
      </c>
      <c r="I18" s="108">
        <v>259680</v>
      </c>
      <c r="J18" s="108">
        <v>308692</v>
      </c>
      <c r="K18" s="108">
        <v>261947</v>
      </c>
      <c r="L18" s="108">
        <v>236907.44101633393</v>
      </c>
      <c r="M18" s="108">
        <v>271475.499092559</v>
      </c>
      <c r="N18" s="108">
        <v>270865.6987295826</v>
      </c>
      <c r="O18" s="13">
        <v>212686.9328493648</v>
      </c>
      <c r="P18" s="37">
        <v>248627.04174228676</v>
      </c>
      <c r="T18" s="13"/>
      <c r="U18" s="46"/>
    </row>
    <row r="19" spans="1:21" ht="12.75">
      <c r="A19" s="28" t="s">
        <v>55</v>
      </c>
      <c r="B19" s="35">
        <f t="shared" si="0"/>
        <v>-0.19024529378208785</v>
      </c>
      <c r="C19" s="63">
        <f>E19-'[1]US'!E19</f>
        <v>-629</v>
      </c>
      <c r="D19" s="13">
        <f>F19-'[1]US'!F19</f>
        <v>-1525</v>
      </c>
      <c r="E19" s="148">
        <v>2839</v>
      </c>
      <c r="F19" s="108">
        <v>3506</v>
      </c>
      <c r="G19" s="108">
        <v>2496</v>
      </c>
      <c r="H19" s="108">
        <v>3392</v>
      </c>
      <c r="I19" s="108">
        <v>2420</v>
      </c>
      <c r="J19" s="108">
        <v>1372</v>
      </c>
      <c r="K19" s="108">
        <v>3525</v>
      </c>
      <c r="L19" s="108">
        <v>1200.5444646098003</v>
      </c>
      <c r="M19" s="108">
        <v>2458.257713248639</v>
      </c>
      <c r="N19" s="108">
        <v>3258.6206896551726</v>
      </c>
      <c r="O19" s="13">
        <v>4725.952813067151</v>
      </c>
      <c r="P19" s="37">
        <v>2858.439201451906</v>
      </c>
      <c r="T19" s="13"/>
      <c r="U19" s="46"/>
    </row>
    <row r="20" spans="1:21" ht="12.75">
      <c r="A20" s="28" t="s">
        <v>56</v>
      </c>
      <c r="B20" s="35">
        <f t="shared" si="0"/>
        <v>-0.05539358600583091</v>
      </c>
      <c r="C20" s="63">
        <f>E20-'[1]US'!E20</f>
        <v>95</v>
      </c>
      <c r="D20" s="13">
        <f>F20-'[1]US'!F20</f>
        <v>-2382</v>
      </c>
      <c r="E20" s="148">
        <v>324</v>
      </c>
      <c r="F20" s="108">
        <v>343</v>
      </c>
      <c r="G20" s="108">
        <v>610</v>
      </c>
      <c r="H20" s="108">
        <v>762</v>
      </c>
      <c r="I20" s="108">
        <v>2249</v>
      </c>
      <c r="J20" s="108">
        <v>19</v>
      </c>
      <c r="K20" s="108">
        <v>2153</v>
      </c>
      <c r="L20" s="108">
        <v>666.9691470054446</v>
      </c>
      <c r="M20" s="108">
        <v>2077.1324863883847</v>
      </c>
      <c r="N20" s="108">
        <v>2267.6950998185116</v>
      </c>
      <c r="O20" s="13">
        <v>666.9691470054446</v>
      </c>
      <c r="P20" s="37">
        <v>2458.257713248639</v>
      </c>
      <c r="T20" s="13"/>
      <c r="U20" s="46"/>
    </row>
    <row r="21" spans="1:21" ht="12.75">
      <c r="A21" s="28" t="s">
        <v>35</v>
      </c>
      <c r="B21" s="35">
        <f t="shared" si="0"/>
        <v>1.7052469135802468</v>
      </c>
      <c r="C21" s="63">
        <f>E21-'[1]US'!E21</f>
        <v>-419</v>
      </c>
      <c r="D21" s="13">
        <f>F21-'[1]US'!F21</f>
        <v>-210</v>
      </c>
      <c r="E21" s="148">
        <v>1753</v>
      </c>
      <c r="F21" s="108">
        <v>648</v>
      </c>
      <c r="G21" s="108">
        <v>1982</v>
      </c>
      <c r="H21" s="108">
        <v>2420</v>
      </c>
      <c r="I21" s="108">
        <v>1772</v>
      </c>
      <c r="J21" s="108">
        <v>0</v>
      </c>
      <c r="K21" s="108">
        <v>1944</v>
      </c>
      <c r="L21" s="108">
        <v>1200.5444646098003</v>
      </c>
      <c r="M21" s="108">
        <v>3087.114337568058</v>
      </c>
      <c r="N21" s="108">
        <v>2096.1887477313976</v>
      </c>
      <c r="O21" s="13">
        <v>876.5880217785844</v>
      </c>
      <c r="P21" s="37">
        <v>1562.6134301270417</v>
      </c>
      <c r="T21" s="13"/>
      <c r="U21" s="46"/>
    </row>
    <row r="22" spans="1:21" ht="12.75">
      <c r="A22" s="28" t="s">
        <v>21</v>
      </c>
      <c r="B22" s="35">
        <f t="shared" si="0"/>
        <v>0.75</v>
      </c>
      <c r="C22" s="63">
        <f>E22-'[1]US'!E22</f>
        <v>-96</v>
      </c>
      <c r="D22" s="13">
        <f>F22-'[1]US'!F22</f>
        <v>-57</v>
      </c>
      <c r="E22" s="148">
        <v>133</v>
      </c>
      <c r="F22" s="108">
        <v>76</v>
      </c>
      <c r="G22" s="108">
        <v>191</v>
      </c>
      <c r="H22" s="108">
        <v>343</v>
      </c>
      <c r="I22" s="108">
        <v>19</v>
      </c>
      <c r="J22" s="108">
        <v>19</v>
      </c>
      <c r="K22" s="108">
        <v>172</v>
      </c>
      <c r="L22" s="108">
        <v>76.22504537205081</v>
      </c>
      <c r="M22" s="108">
        <v>285.84392014519057</v>
      </c>
      <c r="N22" s="108">
        <v>285.84392014519057</v>
      </c>
      <c r="O22" s="13">
        <v>609.8003629764065</v>
      </c>
      <c r="P22" s="37">
        <v>323.95644283121595</v>
      </c>
      <c r="T22" s="13"/>
      <c r="U22" s="46"/>
    </row>
    <row r="23" spans="1:21" ht="12.75">
      <c r="A23" s="28" t="s">
        <v>57</v>
      </c>
      <c r="B23" s="35"/>
      <c r="C23" s="63">
        <f>E23-'[1]US'!E23</f>
        <v>0</v>
      </c>
      <c r="D23" s="13">
        <f>F23-'[1]US'!F23</f>
        <v>0</v>
      </c>
      <c r="E23" s="14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38.11252268602541</v>
      </c>
      <c r="O23" s="13">
        <v>0</v>
      </c>
      <c r="P23" s="37">
        <v>19.056261343012704</v>
      </c>
      <c r="T23" s="13"/>
      <c r="U23" s="46"/>
    </row>
    <row r="24" spans="1:21" ht="12.75">
      <c r="A24" s="28" t="s">
        <v>58</v>
      </c>
      <c r="B24" s="35">
        <f t="shared" si="0"/>
        <v>-1</v>
      </c>
      <c r="C24" s="63">
        <f>E24-'[1]US'!E24</f>
        <v>-19</v>
      </c>
      <c r="D24" s="13">
        <f>F24-'[1]US'!F24</f>
        <v>-19</v>
      </c>
      <c r="E24" s="148">
        <v>0</v>
      </c>
      <c r="F24" s="108">
        <v>38</v>
      </c>
      <c r="G24" s="108">
        <v>38</v>
      </c>
      <c r="H24" s="108">
        <v>38</v>
      </c>
      <c r="I24" s="108">
        <v>0</v>
      </c>
      <c r="J24" s="108">
        <v>0</v>
      </c>
      <c r="K24" s="108">
        <v>152</v>
      </c>
      <c r="L24" s="108">
        <v>0</v>
      </c>
      <c r="M24" s="108">
        <v>0</v>
      </c>
      <c r="N24" s="108">
        <v>57.168784029038115</v>
      </c>
      <c r="O24" s="13">
        <v>0</v>
      </c>
      <c r="P24" s="37">
        <v>19.056261343012704</v>
      </c>
      <c r="T24" s="13"/>
      <c r="U24" s="46"/>
    </row>
    <row r="25" spans="1:21" ht="13.5" thickBot="1">
      <c r="A25" s="30" t="s">
        <v>59</v>
      </c>
      <c r="B25" s="36">
        <f t="shared" si="0"/>
        <v>1.2707461645746165</v>
      </c>
      <c r="C25" s="63">
        <f>E25-'[1]US'!E25</f>
        <v>-29175</v>
      </c>
      <c r="D25" s="15">
        <f>F25-'[1]US'!F25</f>
        <v>-26050</v>
      </c>
      <c r="E25" s="149">
        <v>78150</v>
      </c>
      <c r="F25" s="109">
        <v>34416</v>
      </c>
      <c r="G25" s="109">
        <v>31348</v>
      </c>
      <c r="H25" s="109">
        <v>27155</v>
      </c>
      <c r="I25" s="109">
        <v>24564</v>
      </c>
      <c r="J25" s="109">
        <v>13130</v>
      </c>
      <c r="K25" s="109">
        <v>5774</v>
      </c>
      <c r="L25" s="109">
        <v>8308.529945553539</v>
      </c>
      <c r="M25" s="109">
        <v>8956.44283121597</v>
      </c>
      <c r="N25" s="109">
        <v>12386.569872958258</v>
      </c>
      <c r="O25" s="15">
        <v>5488.203266787659</v>
      </c>
      <c r="P25" s="39">
        <v>8232.304900181489</v>
      </c>
      <c r="T25" s="13"/>
      <c r="U25" s="46"/>
    </row>
    <row r="26" spans="1:16" ht="13.5" thickBot="1">
      <c r="A26" s="45" t="s">
        <v>23</v>
      </c>
      <c r="B26" s="41">
        <f t="shared" si="0"/>
        <v>0.20439790149515077</v>
      </c>
      <c r="C26" s="87">
        <f>E26-'[1]US'!E26</f>
        <v>-281120</v>
      </c>
      <c r="D26" s="42">
        <f>F26-'[1]US'!F26</f>
        <v>-274162</v>
      </c>
      <c r="E26" s="137">
        <f aca="true" t="shared" si="1" ref="E26:J26">SUM(E2:E25)</f>
        <v>887298</v>
      </c>
      <c r="F26" s="42">
        <f t="shared" si="1"/>
        <v>736715</v>
      </c>
      <c r="G26" s="42">
        <f t="shared" si="1"/>
        <v>636480</v>
      </c>
      <c r="H26" s="42">
        <f t="shared" si="1"/>
        <v>855322</v>
      </c>
      <c r="I26" s="42">
        <f t="shared" si="1"/>
        <v>665866</v>
      </c>
      <c r="J26" s="42">
        <f t="shared" si="1"/>
        <v>702279</v>
      </c>
      <c r="K26" s="42">
        <f aca="true" t="shared" si="2" ref="K26:P26">SUM(K2:K25)</f>
        <v>580356</v>
      </c>
      <c r="L26" s="42">
        <f t="shared" si="2"/>
        <v>576909.2558983667</v>
      </c>
      <c r="M26" s="42">
        <f t="shared" si="2"/>
        <v>594174.228675136</v>
      </c>
      <c r="N26" s="42">
        <f t="shared" si="2"/>
        <v>677011.7967332123</v>
      </c>
      <c r="O26" s="42">
        <f t="shared" si="2"/>
        <v>473452.81306715054</v>
      </c>
      <c r="P26" s="43">
        <f t="shared" si="2"/>
        <v>496568.058076225</v>
      </c>
    </row>
    <row r="27" spans="2:14" s="9" customFormat="1" ht="12.75">
      <c r="B27" s="44"/>
      <c r="C27" s="44"/>
      <c r="D27" s="44"/>
      <c r="E27" s="44"/>
      <c r="F27" s="44"/>
      <c r="G27" s="12"/>
      <c r="H27" s="12"/>
      <c r="I27" s="12"/>
      <c r="J27" s="12"/>
      <c r="K27" s="12"/>
      <c r="L27" s="12"/>
      <c r="M27" s="12"/>
      <c r="N27" s="12"/>
    </row>
    <row r="28" spans="2:14" s="9" customFormat="1" ht="13.5" thickBot="1">
      <c r="B28" s="44"/>
      <c r="C28" s="44"/>
      <c r="D28" s="44"/>
      <c r="E28" s="44"/>
      <c r="F28" s="44"/>
      <c r="G28" s="12"/>
      <c r="H28" s="12"/>
      <c r="I28" s="12"/>
      <c r="J28" s="12"/>
      <c r="K28" s="12"/>
      <c r="L28" s="12"/>
      <c r="M28" s="12"/>
      <c r="N28" s="12"/>
    </row>
    <row r="29" spans="1:16" s="16" customFormat="1" ht="13.5" thickBot="1">
      <c r="A29" s="31" t="s">
        <v>25</v>
      </c>
      <c r="B29" s="32" t="s">
        <v>167</v>
      </c>
      <c r="C29" s="62" t="s">
        <v>175</v>
      </c>
      <c r="D29" s="107" t="s">
        <v>168</v>
      </c>
      <c r="E29" s="147">
        <v>43221</v>
      </c>
      <c r="F29" s="33">
        <v>42856</v>
      </c>
      <c r="G29" s="33">
        <v>42491</v>
      </c>
      <c r="H29" s="33">
        <v>42125</v>
      </c>
      <c r="I29" s="33">
        <v>41760</v>
      </c>
      <c r="J29" s="33">
        <v>41395</v>
      </c>
      <c r="K29" s="33">
        <v>41030</v>
      </c>
      <c r="L29" s="33">
        <v>40664</v>
      </c>
      <c r="M29" s="33">
        <v>40299</v>
      </c>
      <c r="N29" s="33">
        <v>39934</v>
      </c>
      <c r="O29" s="33">
        <v>39569</v>
      </c>
      <c r="P29" s="34">
        <v>39203</v>
      </c>
    </row>
    <row r="30" spans="1:16" ht="12.75">
      <c r="A30" s="27" t="s">
        <v>41</v>
      </c>
      <c r="B30" s="35">
        <f aca="true" t="shared" si="3" ref="B30:B40">(E30-F30)/F30</f>
        <v>0.019293218720152817</v>
      </c>
      <c r="C30" s="63">
        <f>E30-'[1]US'!E30</f>
        <v>-18730.32</v>
      </c>
      <c r="D30" s="13">
        <f>F30-'[1]US'!F30</f>
        <v>-13895.419999999998</v>
      </c>
      <c r="E30" s="148">
        <v>32016</v>
      </c>
      <c r="F30" s="13">
        <v>31410</v>
      </c>
      <c r="G30" s="13">
        <v>22946.42</v>
      </c>
      <c r="H30" s="13">
        <v>47444.1</v>
      </c>
      <c r="I30" s="13">
        <v>37411.26</v>
      </c>
      <c r="J30" s="13">
        <v>32805.58</v>
      </c>
      <c r="K30" s="13">
        <v>45217.34</v>
      </c>
      <c r="L30" s="13">
        <v>44904.46</v>
      </c>
      <c r="M30" s="13">
        <v>34129.78</v>
      </c>
      <c r="N30" s="13">
        <v>26999.98</v>
      </c>
      <c r="O30" s="13">
        <v>30892.32</v>
      </c>
      <c r="P30" s="37">
        <v>20243</v>
      </c>
    </row>
    <row r="31" spans="1:16" ht="12.75">
      <c r="A31" s="27" t="s">
        <v>42</v>
      </c>
      <c r="B31" s="35">
        <f t="shared" si="3"/>
        <v>-0.9385307346326837</v>
      </c>
      <c r="C31" s="63">
        <f>E31-'[1]US'!E31</f>
        <v>-1751.32</v>
      </c>
      <c r="D31" s="13">
        <f>F31-'[1]US'!F31</f>
        <v>-4865.16</v>
      </c>
      <c r="E31" s="148">
        <v>164</v>
      </c>
      <c r="F31" s="13">
        <v>2668</v>
      </c>
      <c r="G31" s="13">
        <v>1993.86</v>
      </c>
      <c r="H31" s="13">
        <v>2025.52</v>
      </c>
      <c r="I31" s="13">
        <v>1082.96</v>
      </c>
      <c r="J31" s="13">
        <v>142.74</v>
      </c>
      <c r="K31" s="13">
        <v>3486.34</v>
      </c>
      <c r="L31" s="13">
        <v>171.24</v>
      </c>
      <c r="M31" s="13">
        <v>324.72</v>
      </c>
      <c r="N31" s="13">
        <v>774.94</v>
      </c>
      <c r="O31" s="13">
        <v>291.18</v>
      </c>
      <c r="P31" s="37">
        <v>141</v>
      </c>
    </row>
    <row r="32" spans="1:16" ht="12.75">
      <c r="A32" s="27" t="s">
        <v>43</v>
      </c>
      <c r="B32" s="35">
        <f t="shared" si="3"/>
        <v>-0.20139945238819593</v>
      </c>
      <c r="C32" s="63">
        <f>E32-'[1]US'!E32</f>
        <v>-1880.9799999999996</v>
      </c>
      <c r="D32" s="13">
        <f>F32-'[1]US'!F32</f>
        <v>-1662.7799999999997</v>
      </c>
      <c r="E32" s="148">
        <v>2625</v>
      </c>
      <c r="F32" s="13">
        <v>3287</v>
      </c>
      <c r="G32" s="13">
        <v>490</v>
      </c>
      <c r="H32" s="13">
        <v>4551.22</v>
      </c>
      <c r="I32" s="13">
        <v>2980.02</v>
      </c>
      <c r="J32" s="13">
        <v>1276.14</v>
      </c>
      <c r="K32" s="13">
        <v>3065.98</v>
      </c>
      <c r="L32" s="13">
        <v>2199.3</v>
      </c>
      <c r="M32" s="13">
        <v>1007.08</v>
      </c>
      <c r="N32" s="13">
        <v>2649.24</v>
      </c>
      <c r="O32" s="13">
        <v>1802.92</v>
      </c>
      <c r="P32" s="37">
        <v>1098</v>
      </c>
    </row>
    <row r="33" spans="1:16" ht="12.75">
      <c r="A33" s="27" t="s">
        <v>44</v>
      </c>
      <c r="B33" s="35">
        <f t="shared" si="3"/>
        <v>-1</v>
      </c>
      <c r="C33" s="63">
        <f>E33-'[1]US'!E33</f>
        <v>0</v>
      </c>
      <c r="D33" s="13">
        <f>F33-'[1]US'!F33</f>
        <v>0.45999999999999996</v>
      </c>
      <c r="E33" s="148">
        <v>0</v>
      </c>
      <c r="F33" s="13">
        <v>2</v>
      </c>
      <c r="G33" s="13">
        <v>0</v>
      </c>
      <c r="H33" s="13">
        <v>0</v>
      </c>
      <c r="I33" s="13">
        <v>0</v>
      </c>
      <c r="J33" s="13">
        <v>0</v>
      </c>
      <c r="K33" s="13">
        <v>107.98</v>
      </c>
      <c r="L33" s="13">
        <v>0</v>
      </c>
      <c r="M33" s="13">
        <v>0</v>
      </c>
      <c r="N33" s="13">
        <v>20.96</v>
      </c>
      <c r="O33" s="13">
        <v>0.2</v>
      </c>
      <c r="P33" s="37">
        <v>0</v>
      </c>
    </row>
    <row r="34" spans="1:16" ht="12.75">
      <c r="A34" s="27" t="s">
        <v>155</v>
      </c>
      <c r="B34" s="35"/>
      <c r="C34" s="63">
        <f>E34-'[1]US'!E34</f>
        <v>0</v>
      </c>
      <c r="D34" s="13">
        <f>F34-'[1]US'!F34</f>
        <v>0</v>
      </c>
      <c r="E34" s="148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  <c r="O34" s="13"/>
      <c r="P34" s="37"/>
    </row>
    <row r="35" spans="1:16" ht="12.75">
      <c r="A35" s="27" t="s">
        <v>45</v>
      </c>
      <c r="B35" s="35"/>
      <c r="C35" s="63">
        <f>E35-'[1]US'!E35</f>
        <v>-14</v>
      </c>
      <c r="D35" s="13">
        <f>F35-'[1]US'!F35</f>
        <v>0</v>
      </c>
      <c r="E35" s="148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1.04</v>
      </c>
      <c r="L35" s="13">
        <v>5.6</v>
      </c>
      <c r="M35" s="13">
        <v>0</v>
      </c>
      <c r="N35" s="13">
        <v>0</v>
      </c>
      <c r="O35" s="13">
        <v>0</v>
      </c>
      <c r="P35" s="37">
        <v>0</v>
      </c>
    </row>
    <row r="36" spans="1:16" ht="12.75">
      <c r="A36" s="27" t="s">
        <v>173</v>
      </c>
      <c r="B36" s="35">
        <f t="shared" si="3"/>
        <v>-1</v>
      </c>
      <c r="C36" s="63">
        <f>E36-'[1]US'!E36</f>
        <v>0</v>
      </c>
      <c r="D36" s="13">
        <f>F36-'[1]US'!F36</f>
        <v>-2</v>
      </c>
      <c r="E36" s="148">
        <v>0</v>
      </c>
      <c r="F36" s="13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37"/>
    </row>
    <row r="37" spans="1:16" ht="12.75">
      <c r="A37" s="27" t="s">
        <v>46</v>
      </c>
      <c r="B37" s="35"/>
      <c r="C37" s="63">
        <f>E37-'[1]US'!E37</f>
        <v>0</v>
      </c>
      <c r="D37" s="13">
        <f>F37-'[1]US'!F37</f>
        <v>0</v>
      </c>
      <c r="E37" s="148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37">
        <v>0</v>
      </c>
    </row>
    <row r="38" spans="1:16" ht="12.75">
      <c r="A38" s="27" t="s">
        <v>48</v>
      </c>
      <c r="B38" s="35">
        <f t="shared" si="3"/>
        <v>-1</v>
      </c>
      <c r="C38" s="63">
        <f>E38-'[1]US'!E38</f>
        <v>-14.68</v>
      </c>
      <c r="D38" s="13">
        <f>F38-'[1]US'!F38</f>
        <v>-5</v>
      </c>
      <c r="E38" s="148">
        <v>0</v>
      </c>
      <c r="F38" s="13">
        <v>1</v>
      </c>
      <c r="G38" s="13">
        <v>28</v>
      </c>
      <c r="H38" s="13">
        <v>16.36</v>
      </c>
      <c r="I38" s="13">
        <v>4.76</v>
      </c>
      <c r="J38" s="13">
        <v>1.22</v>
      </c>
      <c r="K38" s="13">
        <v>0</v>
      </c>
      <c r="L38" s="13">
        <v>0.08</v>
      </c>
      <c r="M38" s="13">
        <v>1</v>
      </c>
      <c r="N38" s="13">
        <v>48.94</v>
      </c>
      <c r="O38" s="13">
        <v>18.82</v>
      </c>
      <c r="P38" s="37">
        <v>110</v>
      </c>
    </row>
    <row r="39" spans="1:16" ht="13.5" thickBot="1">
      <c r="A39" s="38" t="s">
        <v>47</v>
      </c>
      <c r="B39" s="36"/>
      <c r="C39" s="64">
        <f>E39-'[1]US'!E39</f>
        <v>-13.54</v>
      </c>
      <c r="D39" s="15">
        <f>F39-'[1]US'!F39</f>
        <v>0</v>
      </c>
      <c r="E39" s="149">
        <v>0</v>
      </c>
      <c r="F39" s="109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  <c r="N39" s="15"/>
      <c r="O39" s="15">
        <v>0</v>
      </c>
      <c r="P39" s="39">
        <v>0</v>
      </c>
    </row>
    <row r="40" spans="1:16" ht="13.5" thickBot="1">
      <c r="A40" s="40" t="s">
        <v>23</v>
      </c>
      <c r="B40" s="41">
        <f t="shared" si="3"/>
        <v>-0.06863794487556864</v>
      </c>
      <c r="C40" s="65">
        <f>E40-'[1]US'!E40</f>
        <v>-22404.839999999997</v>
      </c>
      <c r="D40" s="42">
        <f>F40-'[1]US'!F40</f>
        <v>-20429.9</v>
      </c>
      <c r="E40" s="137">
        <f>SUM(E30:E39)</f>
        <v>34805</v>
      </c>
      <c r="F40" s="42">
        <f>SUM(F30:F39)</f>
        <v>37370</v>
      </c>
      <c r="G40" s="42">
        <f>SUM(G30:G39)</f>
        <v>25458.28</v>
      </c>
      <c r="H40" s="42">
        <f>SUM(H30:H39)</f>
        <v>54037.2</v>
      </c>
      <c r="I40" s="42">
        <f>SUM(I30:I39)</f>
        <v>41479</v>
      </c>
      <c r="J40" s="42">
        <f aca="true" t="shared" si="4" ref="J40:P40">SUM(J30:J39)</f>
        <v>34225.68</v>
      </c>
      <c r="K40" s="42">
        <f t="shared" si="4"/>
        <v>51878.68</v>
      </c>
      <c r="L40" s="42">
        <f t="shared" si="4"/>
        <v>47280.68</v>
      </c>
      <c r="M40" s="42">
        <f t="shared" si="4"/>
        <v>35462.58</v>
      </c>
      <c r="N40" s="42">
        <f t="shared" si="4"/>
        <v>30494.059999999994</v>
      </c>
      <c r="O40" s="42">
        <f t="shared" si="4"/>
        <v>33005.439999999995</v>
      </c>
      <c r="P40" s="128">
        <f t="shared" si="4"/>
        <v>21592</v>
      </c>
    </row>
    <row r="47" spans="15:17" ht="18">
      <c r="O47" s="5"/>
      <c r="P47" s="1"/>
      <c r="Q47" s="1"/>
    </row>
    <row r="48" spans="15:17" ht="18">
      <c r="O48" s="5"/>
      <c r="P48" s="1"/>
      <c r="Q48" s="1"/>
    </row>
    <row r="49" spans="15:17" ht="18">
      <c r="O49" s="5"/>
      <c r="P49" s="1"/>
      <c r="Q49" s="1"/>
    </row>
    <row r="50" spans="15:17" ht="18">
      <c r="O50" s="5"/>
      <c r="P50" s="1"/>
      <c r="Q50" s="1"/>
    </row>
    <row r="51" spans="15:17" ht="18">
      <c r="O51" s="5"/>
      <c r="P51" s="1"/>
      <c r="Q51" s="1"/>
    </row>
    <row r="52" spans="15:17" ht="18">
      <c r="O52" s="5"/>
      <c r="P52" s="1"/>
      <c r="Q52" s="1"/>
    </row>
    <row r="53" spans="15:17" ht="18">
      <c r="O53" s="5"/>
      <c r="P53" s="1"/>
      <c r="Q53" s="1"/>
    </row>
    <row r="54" spans="15:17" ht="18">
      <c r="O54" s="5"/>
      <c r="P54" s="1"/>
      <c r="Q54" s="1"/>
    </row>
    <row r="55" spans="15:17" ht="18">
      <c r="O55" s="5"/>
      <c r="P55" s="1"/>
      <c r="Q55" s="1"/>
    </row>
    <row r="56" spans="15:17" ht="18">
      <c r="O56" s="5"/>
      <c r="P56" s="1"/>
      <c r="Q56" s="1"/>
    </row>
    <row r="57" spans="15:17" ht="18">
      <c r="O57" s="6"/>
      <c r="P57" s="1"/>
      <c r="Q57" s="1"/>
    </row>
    <row r="58" spans="15:17" ht="18.75">
      <c r="O58" s="7"/>
      <c r="P58" s="2"/>
      <c r="Q58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5" width="11.8515625" style="12" customWidth="1"/>
    <col min="6" max="6" width="10.7109375" style="16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8" ht="12.75">
      <c r="A2" s="27" t="s">
        <v>8</v>
      </c>
      <c r="B2" s="35">
        <f>(E2-F2)/F2</f>
        <v>0.7343652038321489</v>
      </c>
      <c r="C2" s="63">
        <f>E2-'[1]EU - country'!E2</f>
        <v>-7869</v>
      </c>
      <c r="D2" s="13">
        <f>F2-'[1]EU - country'!F2</f>
        <v>-2718.620000000001</v>
      </c>
      <c r="E2" s="148">
        <f>Austria!E$21</f>
        <v>19309</v>
      </c>
      <c r="F2" s="13">
        <f>Austria!F$21</f>
        <v>11133.179999999998</v>
      </c>
      <c r="G2" s="13">
        <f>Austria!G$21</f>
        <v>58317.71999999999</v>
      </c>
      <c r="H2" s="13">
        <f>Austria!H$21</f>
        <v>55104.09</v>
      </c>
      <c r="I2" s="13">
        <f>Austria!I$21</f>
        <v>59629.04000000001</v>
      </c>
      <c r="J2" s="13">
        <f>Austria!J$21</f>
        <v>42748</v>
      </c>
      <c r="K2" s="13">
        <f>Austria!K$21</f>
        <v>66064</v>
      </c>
      <c r="L2" s="13">
        <f>Austria!L$21</f>
        <v>56988</v>
      </c>
      <c r="M2" s="13">
        <f>Austria!M$21</f>
        <v>62949</v>
      </c>
      <c r="N2" s="13">
        <f>Austria!N$21</f>
        <v>63437</v>
      </c>
      <c r="O2" s="13">
        <f>Austria!O$21</f>
        <v>44639</v>
      </c>
      <c r="P2" s="47">
        <f>Austria!P$21</f>
        <v>47303</v>
      </c>
      <c r="R2" s="3"/>
    </row>
    <row r="3" spans="1:16" ht="12.75">
      <c r="A3" s="27" t="s">
        <v>0</v>
      </c>
      <c r="B3" s="35">
        <f aca="true" t="shared" si="0" ref="B3:B15">(E3-F3)/F3</f>
        <v>-0.8413793103448276</v>
      </c>
      <c r="C3" s="63">
        <f>E3-'[1]EU - country'!E3</f>
        <v>-3151</v>
      </c>
      <c r="D3" s="13">
        <f>F3-'[1]EU - country'!F3</f>
        <v>-13423</v>
      </c>
      <c r="E3" s="148">
        <f>Belgium!E$10</f>
        <v>5106</v>
      </c>
      <c r="F3" s="13">
        <f>Belgium!F$10</f>
        <v>32190</v>
      </c>
      <c r="G3" s="13">
        <f>Belgium!G$10</f>
        <v>60375</v>
      </c>
      <c r="H3" s="13">
        <f>Belgium!H$10</f>
        <v>65646</v>
      </c>
      <c r="I3" s="13">
        <f>Belgium!I$10</f>
        <v>33733</v>
      </c>
      <c r="J3" s="13">
        <f>Belgium!J$10</f>
        <v>26067</v>
      </c>
      <c r="K3" s="13">
        <f>Belgium!K$10</f>
        <v>43210</v>
      </c>
      <c r="L3" s="13">
        <f>Belgium!L$10</f>
        <v>44761</v>
      </c>
      <c r="M3" s="13">
        <f>Belgium!M$10</f>
        <v>81942</v>
      </c>
      <c r="N3" s="13">
        <f>Belgium!N$10</f>
        <v>117300</v>
      </c>
      <c r="O3" s="13">
        <f>Belgium!O$10</f>
        <v>112900</v>
      </c>
      <c r="P3" s="47">
        <f>Belgium!P$10</f>
        <v>91500</v>
      </c>
    </row>
    <row r="4" spans="1:18" ht="12.75">
      <c r="A4" s="27" t="s">
        <v>31</v>
      </c>
      <c r="B4" s="35">
        <f t="shared" si="0"/>
        <v>0.06936498855835241</v>
      </c>
      <c r="C4" s="63">
        <f>E4-'[1]EU - country'!E4</f>
        <v>-5475</v>
      </c>
      <c r="D4" s="13">
        <f>F4-'[1]EU - country'!F4</f>
        <v>-3526</v>
      </c>
      <c r="E4" s="148">
        <f>'Czech Republic'!E$12</f>
        <v>7477</v>
      </c>
      <c r="F4" s="13">
        <f>'Czech Republic'!F$12</f>
        <v>6992</v>
      </c>
      <c r="G4" s="13">
        <f>'Czech Republic'!G$12</f>
        <v>13663</v>
      </c>
      <c r="H4" s="13">
        <f>'Czech Republic'!H$12</f>
        <v>6468</v>
      </c>
      <c r="I4" s="13">
        <f>'Czech Republic'!I$12</f>
        <v>8347</v>
      </c>
      <c r="J4" s="13">
        <f>'Czech Republic'!J$12</f>
        <v>5829</v>
      </c>
      <c r="K4" s="13">
        <f>'Czech Republic'!K$12</f>
        <v>2779</v>
      </c>
      <c r="L4" s="13">
        <f>'Czech Republic'!L$12</f>
        <v>3439</v>
      </c>
      <c r="M4" s="13">
        <f>'Czech Republic'!M$12</f>
        <v>9487</v>
      </c>
      <c r="N4" s="13">
        <f>'Czech Republic'!N$12</f>
        <v>8598</v>
      </c>
      <c r="O4" s="13">
        <f>'Czech Republic'!O$12</f>
        <v>3278</v>
      </c>
      <c r="P4" s="47">
        <f>'Czech Republic'!P$12</f>
        <v>7680</v>
      </c>
      <c r="R4" s="3"/>
    </row>
    <row r="5" spans="1:18" ht="12.75">
      <c r="A5" s="27" t="s">
        <v>40</v>
      </c>
      <c r="B5" s="35">
        <f t="shared" si="0"/>
        <v>-1</v>
      </c>
      <c r="C5" s="63">
        <f>E5-'[1]EU - country'!E5</f>
        <v>-1474</v>
      </c>
      <c r="D5" s="13">
        <f>F5-'[1]EU - country'!F5</f>
        <v>-1327</v>
      </c>
      <c r="E5" s="148">
        <f>Denmark!E$19</f>
        <v>0</v>
      </c>
      <c r="F5" s="13">
        <f>Denmark!F$19</f>
        <v>2047</v>
      </c>
      <c r="G5" s="13">
        <f>Denmark!G$19</f>
        <v>2124</v>
      </c>
      <c r="H5" s="13">
        <f>Denmark!H$19</f>
        <v>413</v>
      </c>
      <c r="I5" s="13">
        <f>Denmark!I$19</f>
        <v>40</v>
      </c>
      <c r="J5" s="13">
        <f>Denmark!J$19</f>
        <v>65</v>
      </c>
      <c r="K5" s="13">
        <f>Denmark!K$19</f>
        <v>512</v>
      </c>
      <c r="L5" s="13">
        <f>Denmark!L$19</f>
        <v>0</v>
      </c>
      <c r="M5" s="13">
        <f>Denmark!M$19</f>
        <v>181</v>
      </c>
      <c r="N5" s="13">
        <f>Denmark!N$19</f>
        <v>363</v>
      </c>
      <c r="O5" s="13">
        <f>Denmark!O$19</f>
        <v>0</v>
      </c>
      <c r="P5" s="47">
        <f>Denmark!P$19</f>
        <v>0</v>
      </c>
      <c r="R5" s="3"/>
    </row>
    <row r="6" spans="1:18" ht="15">
      <c r="A6" s="53" t="s">
        <v>134</v>
      </c>
      <c r="B6" s="35">
        <f t="shared" si="0"/>
        <v>-0.20504065289623177</v>
      </c>
      <c r="C6" s="63">
        <f>E6-'[1]EU - country'!E6</f>
        <v>-91947</v>
      </c>
      <c r="D6" s="13">
        <f>F6-'[1]EU - country'!F6</f>
        <v>-67786</v>
      </c>
      <c r="E6" s="148">
        <f>France!E$26</f>
        <v>155754</v>
      </c>
      <c r="F6" s="90">
        <f>France!F$26</f>
        <v>195927</v>
      </c>
      <c r="G6" s="90">
        <f>France!G$26</f>
        <v>187383</v>
      </c>
      <c r="H6" s="90">
        <f>France!H$26</f>
        <v>166501</v>
      </c>
      <c r="I6" s="90">
        <f>France!I$26</f>
        <v>229824</v>
      </c>
      <c r="J6" s="90">
        <f>France!J$26</f>
        <v>78688</v>
      </c>
      <c r="K6" s="90">
        <f>France!K$26</f>
        <v>176599</v>
      </c>
      <c r="L6" s="90">
        <f>France!L$26</f>
        <v>167266</v>
      </c>
      <c r="M6" s="90">
        <f>France!M$26</f>
        <v>193458</v>
      </c>
      <c r="N6" s="135"/>
      <c r="O6" s="135"/>
      <c r="P6" s="103"/>
      <c r="R6" s="3"/>
    </row>
    <row r="7" spans="1:18" ht="12.75">
      <c r="A7" s="27" t="s">
        <v>28</v>
      </c>
      <c r="B7" s="35">
        <f t="shared" si="0"/>
        <v>-0.6432793241496706</v>
      </c>
      <c r="C7" s="63">
        <f>E7-'[1]EU - country'!E7</f>
        <v>-29643</v>
      </c>
      <c r="D7" s="13">
        <f>F7-'[1]EU - country'!F7</f>
        <v>-51976</v>
      </c>
      <c r="E7" s="148">
        <f>Germany!E$21</f>
        <v>45265</v>
      </c>
      <c r="F7" s="13">
        <f>Germany!F$21</f>
        <v>126892</v>
      </c>
      <c r="G7" s="13">
        <f>Germany!G$21</f>
        <v>111865</v>
      </c>
      <c r="H7" s="13">
        <f>Germany!H$21</f>
        <v>114233</v>
      </c>
      <c r="I7" s="13">
        <f>Germany!I$21</f>
        <v>92405</v>
      </c>
      <c r="J7" s="13">
        <f>Germany!J$21</f>
        <v>100504</v>
      </c>
      <c r="K7" s="13">
        <f>Germany!K$21</f>
        <v>102789</v>
      </c>
      <c r="L7" s="13">
        <f>Germany!L$21</f>
        <v>73197</v>
      </c>
      <c r="M7" s="13">
        <f>Germany!M$21</f>
        <v>106501</v>
      </c>
      <c r="N7" s="13">
        <f>Germany!N$21</f>
        <v>95395</v>
      </c>
      <c r="O7" s="13">
        <f>Germany!O$21</f>
        <v>62503</v>
      </c>
      <c r="P7" s="47">
        <f>Germany!P$21</f>
        <v>78127</v>
      </c>
      <c r="R7" s="3"/>
    </row>
    <row r="8" spans="1:16" ht="12.75">
      <c r="A8" s="27" t="s">
        <v>16</v>
      </c>
      <c r="B8" s="35">
        <f t="shared" si="0"/>
        <v>-0.6051029518889359</v>
      </c>
      <c r="C8" s="63">
        <f>E8-'[1]EU - country'!E8</f>
        <v>-140770.36000000004</v>
      </c>
      <c r="D8" s="13">
        <f>F8-'[1]EU - country'!F8</f>
        <v>-203166.2900000001</v>
      </c>
      <c r="E8" s="148">
        <f>Italy!E$19</f>
        <v>185842.63999999996</v>
      </c>
      <c r="F8" s="13">
        <f>Italy!F$19</f>
        <v>470610.35500000004</v>
      </c>
      <c r="G8" s="13">
        <f>Italy!G$19</f>
        <v>465821.1049999999</v>
      </c>
      <c r="H8" s="13">
        <f>Italy!H$19</f>
        <v>455710</v>
      </c>
      <c r="I8" s="13">
        <f>Italy!I$19</f>
        <v>412022</v>
      </c>
      <c r="J8" s="13">
        <f>Italy!J$19</f>
        <v>283337</v>
      </c>
      <c r="K8" s="13">
        <f>Italy!K$19</f>
        <v>383810</v>
      </c>
      <c r="L8" s="13">
        <f>Italy!L$19</f>
        <v>371916</v>
      </c>
      <c r="M8" s="13">
        <f>Italy!M$19</f>
        <v>374740.32</v>
      </c>
      <c r="N8" s="13">
        <f>Italy!N$19</f>
        <v>394307.89999999997</v>
      </c>
      <c r="O8" s="13">
        <f>Italy!O$19</f>
        <v>267141.60000000003</v>
      </c>
      <c r="P8" s="47">
        <f>Italy!P$19</f>
        <v>315450.49999999994</v>
      </c>
    </row>
    <row r="9" spans="1:18" ht="12.75">
      <c r="A9" s="53" t="s">
        <v>32</v>
      </c>
      <c r="B9" s="35">
        <f t="shared" si="0"/>
        <v>-0.41</v>
      </c>
      <c r="C9" s="63">
        <f>E9-'[1]EU - country'!E9</f>
        <v>-109000</v>
      </c>
      <c r="D9" s="13">
        <f>F9-'[1]EU - country'!F9</f>
        <v>-280000</v>
      </c>
      <c r="E9" s="148">
        <f>Poland!E$17</f>
        <v>177000</v>
      </c>
      <c r="F9" s="90">
        <f>Poland!F$17</f>
        <v>300000</v>
      </c>
      <c r="G9" s="90">
        <f>Poland!G$17</f>
        <v>325000</v>
      </c>
      <c r="H9" s="90">
        <f>Poland!H$17</f>
        <v>250000</v>
      </c>
      <c r="I9" s="90">
        <f>Poland!I$17</f>
        <v>275000</v>
      </c>
      <c r="J9" s="90">
        <f>Poland!J$17</f>
        <v>184000</v>
      </c>
      <c r="K9" s="90">
        <f>Poland!K$17</f>
        <v>196000</v>
      </c>
      <c r="L9" s="90">
        <f>Poland!L$17</f>
        <v>55000</v>
      </c>
      <c r="M9" s="90">
        <f>Poland!M$17</f>
        <v>120000</v>
      </c>
      <c r="N9" s="90">
        <f>Poland!N$17</f>
        <v>60000</v>
      </c>
      <c r="O9" s="90">
        <f>Poland!O$17</f>
        <v>40000</v>
      </c>
      <c r="P9" s="92">
        <f>Poland!P$17</f>
        <v>70000</v>
      </c>
      <c r="R9" s="3"/>
    </row>
    <row r="10" spans="1:18" ht="12.75">
      <c r="A10" s="53" t="s">
        <v>151</v>
      </c>
      <c r="B10" s="35"/>
      <c r="C10" s="63">
        <f>E10-'[1]EU - country'!E10</f>
        <v>0</v>
      </c>
      <c r="D10" s="13">
        <f>F10-'[1]EU - country'!F10</f>
        <v>0</v>
      </c>
      <c r="E10" s="148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2"/>
      <c r="R10" s="3"/>
    </row>
    <row r="11" spans="1:18" ht="12.75">
      <c r="A11" s="27" t="s">
        <v>37</v>
      </c>
      <c r="B11" s="35">
        <f t="shared" si="0"/>
        <v>-0.3988187177998705</v>
      </c>
      <c r="C11" s="63">
        <f>E11-'[1]EU - country'!E11</f>
        <v>-31202</v>
      </c>
      <c r="D11" s="13">
        <f>F11-'[1]EU - country'!F11</f>
        <v>-30459.34889602239</v>
      </c>
      <c r="E11" s="148">
        <f>Spain!E$8</f>
        <v>57288</v>
      </c>
      <c r="F11" s="13">
        <f>Spain!F$8</f>
        <v>95292.38799708534</v>
      </c>
      <c r="G11" s="13">
        <f>Spain!G$8</f>
        <v>62236.192839871066</v>
      </c>
      <c r="H11" s="13">
        <f>Spain!H$8</f>
        <v>71719.423168265</v>
      </c>
      <c r="I11" s="13">
        <f>Spain!I$8</f>
        <v>63132.695538891916</v>
      </c>
      <c r="J11" s="13">
        <f>Spain!J$8</f>
        <v>33305.77196048225</v>
      </c>
      <c r="K11" s="13">
        <f>Spain!K$8</f>
        <v>67752.74592392417</v>
      </c>
      <c r="L11" s="13">
        <f>Spain!L$8</f>
        <v>49551.31371918264</v>
      </c>
      <c r="M11" s="13">
        <f>Spain!M$8</f>
        <v>46160</v>
      </c>
      <c r="N11" s="13">
        <f>Spain!N$8</f>
        <v>73721</v>
      </c>
      <c r="O11" s="13">
        <f>Spain!O$8</f>
        <v>45862</v>
      </c>
      <c r="P11" s="47">
        <f>Spain!P$8</f>
        <v>40135</v>
      </c>
      <c r="R11" s="3"/>
    </row>
    <row r="12" spans="1:18" ht="12.75">
      <c r="A12" s="27" t="s">
        <v>60</v>
      </c>
      <c r="B12" s="35">
        <f t="shared" si="0"/>
        <v>-0.6709239848498194</v>
      </c>
      <c r="C12" s="63">
        <f>E12-'[1]EU - country'!E12</f>
        <v>-6435</v>
      </c>
      <c r="D12" s="13">
        <f>F12-'[1]EU - country'!F12</f>
        <v>-8212</v>
      </c>
      <c r="E12" s="148">
        <f>Switzerland!E$19</f>
        <v>7472</v>
      </c>
      <c r="F12" s="13">
        <f>Switzerland!F$19</f>
        <v>22706</v>
      </c>
      <c r="G12" s="13">
        <f>Switzerland!G$19</f>
        <v>21177</v>
      </c>
      <c r="H12" s="13">
        <f>Switzerland!H$19</f>
        <v>23181</v>
      </c>
      <c r="I12" s="13">
        <f>Switzerland!I$19</f>
        <v>22746</v>
      </c>
      <c r="J12" s="13">
        <f>Switzerland!J$19</f>
        <v>21274</v>
      </c>
      <c r="K12" s="13">
        <f>Switzerland!K$19</f>
        <v>26574</v>
      </c>
      <c r="L12" s="13">
        <f>Switzerland!L$19</f>
        <v>24101</v>
      </c>
      <c r="M12" s="13">
        <f>Switzerland!M$19</f>
        <v>25195</v>
      </c>
      <c r="N12" s="13">
        <f>Switzerland!N$19</f>
        <v>20451</v>
      </c>
      <c r="O12" s="13">
        <f>Switzerland!O$19</f>
        <v>21828</v>
      </c>
      <c r="P12" s="47">
        <f>Switzerland!P$19</f>
        <v>23305</v>
      </c>
      <c r="R12" s="3"/>
    </row>
    <row r="13" spans="1:16" ht="12.75">
      <c r="A13" s="27" t="s">
        <v>1</v>
      </c>
      <c r="B13" s="35">
        <f t="shared" si="0"/>
        <v>-0.553130592010729</v>
      </c>
      <c r="C13" s="63">
        <f>E13-'[1]EU - country'!E13</f>
        <v>-18594.042</v>
      </c>
      <c r="D13" s="13">
        <f>F13-'[1]EU - country'!F13</f>
        <v>-24206</v>
      </c>
      <c r="E13" s="148">
        <f>Netherlands!E$8</f>
        <v>37318.958</v>
      </c>
      <c r="F13" s="13">
        <f>Netherlands!F$8</f>
        <v>83512</v>
      </c>
      <c r="G13" s="13">
        <f>Netherlands!G$8</f>
        <v>76773</v>
      </c>
      <c r="H13" s="13">
        <f>Netherlands!H$8</f>
        <v>86659</v>
      </c>
      <c r="I13" s="13">
        <f>Netherlands!I$8</f>
        <v>77000</v>
      </c>
      <c r="J13" s="13">
        <f>Netherlands!J$8</f>
        <v>55000</v>
      </c>
      <c r="K13" s="13">
        <f>Netherlands!K$8</f>
        <v>95000</v>
      </c>
      <c r="L13" s="13">
        <f>Netherlands!L$8</f>
        <v>58000</v>
      </c>
      <c r="M13" s="13">
        <f>Netherlands!M$8</f>
        <v>94000</v>
      </c>
      <c r="N13" s="13">
        <f>Netherlands!N$8</f>
        <v>89000</v>
      </c>
      <c r="O13" s="13">
        <f>Netherlands!O$8</f>
        <v>72000</v>
      </c>
      <c r="P13" s="47">
        <f>Netherlands!P$8</f>
        <v>78000</v>
      </c>
    </row>
    <row r="14" spans="1:16" ht="13.5" thickBot="1">
      <c r="A14" s="38" t="s">
        <v>170</v>
      </c>
      <c r="B14" s="36"/>
      <c r="C14" s="64">
        <f>E14-'[1]EU - country'!E14</f>
        <v>-22958</v>
      </c>
      <c r="D14" s="15">
        <f>F14-'[1]EU - country'!F14</f>
        <v>-33420</v>
      </c>
      <c r="E14" s="149">
        <f>UK!E$12</f>
        <v>5128</v>
      </c>
      <c r="F14" s="15">
        <f>UK!F$12</f>
        <v>0</v>
      </c>
      <c r="G14" s="15">
        <f>UK!G$12</f>
        <v>13850</v>
      </c>
      <c r="H14" s="15">
        <f>UK!H$12</f>
        <v>20300</v>
      </c>
      <c r="I14" s="15">
        <f>UK!I$12</f>
        <v>23000</v>
      </c>
      <c r="J14" s="15">
        <f>UK!J$12</f>
        <v>7000</v>
      </c>
      <c r="K14" s="15">
        <f>UK!K$12</f>
        <v>17300</v>
      </c>
      <c r="L14" s="15">
        <f>UK!L$12</f>
        <v>16000</v>
      </c>
      <c r="M14" s="15">
        <f>UK!M$12</f>
        <v>18550</v>
      </c>
      <c r="N14" s="15">
        <f>UK!N$12</f>
        <v>20000</v>
      </c>
      <c r="O14" s="15">
        <f>UK!O$12</f>
        <v>11400</v>
      </c>
      <c r="P14" s="48">
        <f>UK!P$12</f>
        <v>20000</v>
      </c>
    </row>
    <row r="15" spans="1:16" ht="13.5" thickBot="1">
      <c r="A15" s="40" t="s">
        <v>23</v>
      </c>
      <c r="B15" s="41">
        <f t="shared" si="0"/>
        <v>-0.478245680495833</v>
      </c>
      <c r="C15" s="65">
        <f>E15-'[1]EU - country'!E15</f>
        <v>-468518.4020000001</v>
      </c>
      <c r="D15" s="42">
        <f>F15-'[1]EU - country'!F15</f>
        <v>-720220.2588960223</v>
      </c>
      <c r="E15" s="137">
        <f>SUM(E2:E14)</f>
        <v>702960.5979999999</v>
      </c>
      <c r="F15" s="42">
        <f>SUM(F2:F14)</f>
        <v>1347301.9229970854</v>
      </c>
      <c r="G15" s="42">
        <f>SUM(G2:G14)</f>
        <v>1398585.017839871</v>
      </c>
      <c r="H15" s="42">
        <f>SUM(H2:H14)</f>
        <v>1315934.5131682649</v>
      </c>
      <c r="I15" s="42">
        <f aca="true" t="shared" si="1" ref="I15:P15">SUM(I2:I14)</f>
        <v>1296878.735538892</v>
      </c>
      <c r="J15" s="42">
        <f t="shared" si="1"/>
        <v>837817.7719604822</v>
      </c>
      <c r="K15" s="42">
        <f t="shared" si="1"/>
        <v>1178389.7459239243</v>
      </c>
      <c r="L15" s="42">
        <f t="shared" si="1"/>
        <v>920219.3137191826</v>
      </c>
      <c r="M15" s="42">
        <f t="shared" si="1"/>
        <v>1133163.32</v>
      </c>
      <c r="N15" s="42">
        <f t="shared" si="1"/>
        <v>942572.8999999999</v>
      </c>
      <c r="O15" s="42">
        <f t="shared" si="1"/>
        <v>681551.6000000001</v>
      </c>
      <c r="P15" s="128">
        <f t="shared" si="1"/>
        <v>771500.5</v>
      </c>
    </row>
    <row r="16" spans="1:16" s="9" customFormat="1" ht="12.75">
      <c r="A16" s="12"/>
      <c r="B16" s="44"/>
      <c r="C16" s="44"/>
      <c r="D16" s="44"/>
      <c r="E16" s="44"/>
      <c r="F16" s="44"/>
      <c r="G16" s="12"/>
      <c r="H16" s="12"/>
      <c r="I16" s="12"/>
      <c r="J16" s="12"/>
      <c r="K16" s="12"/>
      <c r="L16" s="12"/>
      <c r="M16" s="12"/>
      <c r="N16" s="12"/>
      <c r="O16" s="8"/>
      <c r="P16" s="8"/>
    </row>
    <row r="17" spans="1:16" s="9" customFormat="1" ht="13.5" thickBot="1">
      <c r="A17" s="12"/>
      <c r="B17" s="44"/>
      <c r="C17" s="44"/>
      <c r="D17" s="44"/>
      <c r="E17" s="44"/>
      <c r="F17" s="44"/>
      <c r="G17" s="12"/>
      <c r="H17" s="12"/>
      <c r="I17" s="12"/>
      <c r="J17" s="12"/>
      <c r="K17" s="12"/>
      <c r="L17" s="12"/>
      <c r="M17" s="12"/>
      <c r="N17" s="12"/>
      <c r="O17" s="8"/>
      <c r="P17" s="8"/>
    </row>
    <row r="18" spans="1:17" s="16" customFormat="1" ht="13.5" thickBot="1">
      <c r="A18" s="31" t="s">
        <v>25</v>
      </c>
      <c r="B18" s="32" t="s">
        <v>176</v>
      </c>
      <c r="C18" s="62" t="s">
        <v>175</v>
      </c>
      <c r="D18" s="107" t="s">
        <v>168</v>
      </c>
      <c r="E18" s="147">
        <v>43230</v>
      </c>
      <c r="F18" s="33">
        <v>42856</v>
      </c>
      <c r="G18" s="33">
        <v>42491</v>
      </c>
      <c r="H18" s="33">
        <v>42125</v>
      </c>
      <c r="I18" s="33">
        <v>41760</v>
      </c>
      <c r="J18" s="33">
        <v>41395</v>
      </c>
      <c r="K18" s="33">
        <v>41030</v>
      </c>
      <c r="L18" s="33">
        <v>40664</v>
      </c>
      <c r="M18" s="33">
        <v>40299</v>
      </c>
      <c r="N18" s="33">
        <v>39934</v>
      </c>
      <c r="O18" s="33">
        <v>39569</v>
      </c>
      <c r="P18" s="34">
        <v>39203</v>
      </c>
      <c r="Q18" s="12"/>
    </row>
    <row r="19" spans="1:16" ht="12.75">
      <c r="A19" s="27" t="s">
        <v>0</v>
      </c>
      <c r="B19" s="35">
        <f aca="true" t="shared" si="2" ref="B19:B31">(E19-F19)/F19</f>
        <v>-0.4977736772433712</v>
      </c>
      <c r="C19" s="63">
        <f>E19-'[1]EU - country'!E19</f>
        <v>-27774</v>
      </c>
      <c r="D19" s="13">
        <f>F19-'[1]EU - country'!F19</f>
        <v>-32096</v>
      </c>
      <c r="E19" s="148">
        <f>Belgium!E$19</f>
        <v>12520</v>
      </c>
      <c r="F19" s="13">
        <f>Belgium!F$19</f>
        <v>24929</v>
      </c>
      <c r="G19" s="13">
        <f>Belgium!G$19</f>
        <v>48359</v>
      </c>
      <c r="H19" s="13">
        <f>Belgium!H$19</f>
        <v>25159</v>
      </c>
      <c r="I19" s="13">
        <f>Belgium!I$19</f>
        <v>11732</v>
      </c>
      <c r="J19" s="13">
        <f>Belgium!J$19</f>
        <v>13000</v>
      </c>
      <c r="K19" s="13">
        <f>Belgium!K$19</f>
        <v>15000</v>
      </c>
      <c r="L19" s="13">
        <f>Belgium!L$19</f>
        <v>30900</v>
      </c>
      <c r="M19" s="13">
        <f>Belgium!M$19</f>
        <v>22100</v>
      </c>
      <c r="N19" s="13">
        <f>Belgium!N$19</f>
        <v>0</v>
      </c>
      <c r="O19" s="13">
        <f>Belgium!O$19</f>
        <v>51300</v>
      </c>
      <c r="P19" s="47">
        <f>Belgium!P$19</f>
        <v>47000</v>
      </c>
    </row>
    <row r="20" spans="1:16" ht="12.75">
      <c r="A20" s="27" t="s">
        <v>31</v>
      </c>
      <c r="B20" s="35">
        <f t="shared" si="2"/>
        <v>0.6216216216216216</v>
      </c>
      <c r="C20" s="63">
        <f>E20-'[1]EU - country'!E20</f>
        <v>-245</v>
      </c>
      <c r="D20" s="13">
        <f>F20-'[1]EU - country'!F20</f>
        <v>-148</v>
      </c>
      <c r="E20" s="148">
        <f>'Czech Republic'!E$21</f>
        <v>600</v>
      </c>
      <c r="F20" s="13">
        <f>'Czech Republic'!F$21</f>
        <v>370</v>
      </c>
      <c r="G20" s="13">
        <f>'Czech Republic'!G$21</f>
        <v>1001</v>
      </c>
      <c r="H20" s="13">
        <f>'Czech Republic'!H$21</f>
        <v>0</v>
      </c>
      <c r="I20" s="13">
        <f>'Czech Republic'!I$21</f>
        <v>567</v>
      </c>
      <c r="J20" s="13">
        <f>'Czech Republic'!J$21</f>
        <v>0</v>
      </c>
      <c r="K20" s="13">
        <f>'Czech Republic'!K$21</f>
        <v>0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47">
        <f>'Czech Republic'!P$21</f>
        <v>0</v>
      </c>
    </row>
    <row r="21" spans="1:18" ht="12.75">
      <c r="A21" s="27" t="s">
        <v>40</v>
      </c>
      <c r="B21" s="35"/>
      <c r="C21" s="63">
        <f>E21-'[1]EU - country'!E21</f>
        <v>0</v>
      </c>
      <c r="D21" s="13">
        <f>F21-'[1]EU - country'!F21</f>
        <v>0</v>
      </c>
      <c r="E21" s="148">
        <f>Denmark!E$26</f>
        <v>0</v>
      </c>
      <c r="F21" s="13">
        <f>Denmark!F$26</f>
        <v>0</v>
      </c>
      <c r="G21" s="13">
        <f>Denmark!G$26</f>
        <v>17</v>
      </c>
      <c r="H21" s="13">
        <f>Denmark!H$26</f>
        <v>0</v>
      </c>
      <c r="I21" s="13">
        <f>Denmark!I$26</f>
        <v>0</v>
      </c>
      <c r="J21" s="13">
        <f>Denmark!J$26</f>
        <v>0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47">
        <f>Denmark!P$26</f>
        <v>0</v>
      </c>
      <c r="R21" s="3"/>
    </row>
    <row r="22" spans="1:16" ht="12.75">
      <c r="A22" s="53" t="s">
        <v>134</v>
      </c>
      <c r="B22" s="35">
        <f t="shared" si="2"/>
        <v>0.8706896551724138</v>
      </c>
      <c r="C22" s="63">
        <f>E22-'[1]EU - country'!E22</f>
        <v>-606</v>
      </c>
      <c r="D22" s="13">
        <f>F22-'[1]EU - country'!F22</f>
        <v>-774</v>
      </c>
      <c r="E22" s="148">
        <f>France!E$38</f>
        <v>868</v>
      </c>
      <c r="F22" s="13">
        <f>France!F$38</f>
        <v>464</v>
      </c>
      <c r="G22" s="13">
        <f>France!G$38</f>
        <v>275</v>
      </c>
      <c r="H22" s="13">
        <f>France!H$38</f>
        <v>738</v>
      </c>
      <c r="I22" s="13">
        <f>France!I$38</f>
        <v>1814</v>
      </c>
      <c r="J22" s="13">
        <f>France!J$38</f>
        <v>11</v>
      </c>
      <c r="K22" s="13">
        <f>France!K$38</f>
        <v>2094</v>
      </c>
      <c r="L22" s="13">
        <f>France!L$38</f>
        <v>0</v>
      </c>
      <c r="M22" s="13">
        <f>France!M$38</f>
        <v>0</v>
      </c>
      <c r="N22" s="13">
        <f>France!N$38</f>
        <v>0</v>
      </c>
      <c r="O22" s="13">
        <f>France!O$38</f>
        <v>0</v>
      </c>
      <c r="P22" s="47">
        <f>France!P$38</f>
        <v>0</v>
      </c>
    </row>
    <row r="23" spans="1:18" ht="12.75">
      <c r="A23" s="27" t="s">
        <v>28</v>
      </c>
      <c r="B23" s="35">
        <f t="shared" si="2"/>
        <v>-1</v>
      </c>
      <c r="C23" s="63">
        <f>E23-'[1]EU - country'!E23</f>
        <v>-393</v>
      </c>
      <c r="D23" s="13">
        <f>F23-'[1]EU - country'!F23</f>
        <v>-28</v>
      </c>
      <c r="E23" s="148">
        <f>Germany!E$26</f>
        <v>0</v>
      </c>
      <c r="F23" s="13">
        <f>Germany!F$26</f>
        <v>25</v>
      </c>
      <c r="G23" s="13">
        <f>Germany!G$26</f>
        <v>20</v>
      </c>
      <c r="H23" s="13">
        <f>Germany!H$26</f>
        <v>427</v>
      </c>
      <c r="I23" s="13">
        <f>Germany!I$26</f>
        <v>234</v>
      </c>
      <c r="J23" s="13">
        <f>Germany!J$26</f>
        <v>23</v>
      </c>
      <c r="K23" s="13">
        <f>Germany!K$26</f>
        <v>189</v>
      </c>
      <c r="L23" s="13">
        <f>Germany!L$26</f>
        <v>1</v>
      </c>
      <c r="M23" s="13">
        <f>Germany!M$26</f>
        <v>113</v>
      </c>
      <c r="N23" s="13">
        <f>Germany!N$26</f>
        <v>0</v>
      </c>
      <c r="O23" s="13">
        <f>Germany!O$26</f>
        <v>151</v>
      </c>
      <c r="P23" s="47">
        <f>Germany!P$26</f>
        <v>24</v>
      </c>
      <c r="R23" s="3"/>
    </row>
    <row r="24" spans="1:18" ht="12.75">
      <c r="A24" s="27" t="s">
        <v>16</v>
      </c>
      <c r="B24" s="35">
        <f t="shared" si="2"/>
        <v>2.8977845958738695</v>
      </c>
      <c r="C24" s="63">
        <f>E24-'[1]EU - country'!E24</f>
        <v>-29173.323521869057</v>
      </c>
      <c r="D24" s="13">
        <f>F24-'[1]EU - country'!F24</f>
        <v>-27826.019041959575</v>
      </c>
      <c r="E24" s="148">
        <f>Italy!E$28</f>
        <v>26813.24486055751</v>
      </c>
      <c r="F24" s="13">
        <f>Italy!F$28</f>
        <v>6879.098677987893</v>
      </c>
      <c r="G24" s="13">
        <f>Italy!G$28</f>
        <v>22149.816980799365</v>
      </c>
      <c r="H24" s="13">
        <f>Italy!H$28</f>
        <v>7967.160948373407</v>
      </c>
      <c r="I24" s="13">
        <f>Italy!I$28</f>
        <v>23299.29605205871</v>
      </c>
      <c r="J24" s="13">
        <f>Italy!J$28</f>
        <v>5752</v>
      </c>
      <c r="K24" s="13">
        <f>Italy!K$28</f>
        <v>35882.50745099641</v>
      </c>
      <c r="L24" s="13">
        <f>Italy!L$28</f>
        <v>9926.396486743122</v>
      </c>
      <c r="M24" s="13">
        <f>Italy!M$28</f>
        <v>25248</v>
      </c>
      <c r="N24" s="13">
        <f>Italy!N$28</f>
        <v>14616</v>
      </c>
      <c r="O24" s="13">
        <f>Italy!O$28</f>
        <v>15003</v>
      </c>
      <c r="P24" s="47">
        <f>Italy!P$28</f>
        <v>21700</v>
      </c>
      <c r="R24" s="3"/>
    </row>
    <row r="25" spans="1:18" ht="12.75">
      <c r="A25" s="53" t="s">
        <v>32</v>
      </c>
      <c r="B25" s="35"/>
      <c r="C25" s="63">
        <f>E25-'[1]EU - country'!E25</f>
        <v>0</v>
      </c>
      <c r="D25" s="13">
        <f>F25-'[1]EU - country'!F25</f>
        <v>0</v>
      </c>
      <c r="E25" s="148">
        <f>Poland!E$24</f>
        <v>0</v>
      </c>
      <c r="F25" s="90">
        <f>Poland!F$24</f>
        <v>0</v>
      </c>
      <c r="G25" s="90">
        <f>Poland!G$24</f>
        <v>0</v>
      </c>
      <c r="H25" s="90">
        <f>Poland!H$24</f>
        <v>0</v>
      </c>
      <c r="I25" s="90">
        <f>Poland!I$24</f>
        <v>1000</v>
      </c>
      <c r="J25" s="90">
        <f>Poland!J$24</f>
        <v>0</v>
      </c>
      <c r="K25" s="90">
        <f>Poland!K$24</f>
        <v>0</v>
      </c>
      <c r="L25" s="90">
        <f>Poland!L$24</f>
        <v>0</v>
      </c>
      <c r="M25" s="90">
        <f>Poland!M$24</f>
        <v>1000</v>
      </c>
      <c r="N25" s="90">
        <f>Poland!N$24</f>
        <v>0</v>
      </c>
      <c r="O25" s="90">
        <f>Poland!O$24</f>
        <v>0</v>
      </c>
      <c r="P25" s="92">
        <f>Poland!P$24</f>
        <v>500</v>
      </c>
      <c r="R25" s="3"/>
    </row>
    <row r="26" spans="1:18" ht="15">
      <c r="A26" s="53" t="s">
        <v>171</v>
      </c>
      <c r="B26" s="35">
        <f t="shared" si="2"/>
        <v>0.30657266317944054</v>
      </c>
      <c r="C26" s="63">
        <f>E26-'[1]EU - country'!E26</f>
        <v>5745</v>
      </c>
      <c r="D26" s="13">
        <f>F26-'[1]EU - country'!F26</f>
        <v>4397</v>
      </c>
      <c r="E26" s="148">
        <f>Portugal!$E14</f>
        <v>5745</v>
      </c>
      <c r="F26" s="90">
        <f>Portugal!$F14</f>
        <v>4397</v>
      </c>
      <c r="G26" s="90">
        <f>Portugal!$G14</f>
        <v>2891</v>
      </c>
      <c r="H26" s="90">
        <f>Portugal!$H14</f>
        <v>6678.571428571428</v>
      </c>
      <c r="I26" s="90">
        <f>Portugal!$I14</f>
        <v>26042.682926829268</v>
      </c>
      <c r="J26" s="90">
        <f>Portugal!J14</f>
        <v>0</v>
      </c>
      <c r="K26" s="90">
        <f>Portugal!K14</f>
        <v>0</v>
      </c>
      <c r="L26" s="135"/>
      <c r="M26" s="135"/>
      <c r="N26" s="135"/>
      <c r="O26" s="135"/>
      <c r="P26" s="103"/>
      <c r="R26" s="3"/>
    </row>
    <row r="27" spans="1:18" ht="12.75">
      <c r="A27" s="27" t="s">
        <v>37</v>
      </c>
      <c r="B27" s="35">
        <f t="shared" si="2"/>
        <v>0.6490177893938116</v>
      </c>
      <c r="C27" s="63">
        <f>E27-'[1]EU - country'!E27</f>
        <v>-13940</v>
      </c>
      <c r="D27" s="13">
        <f>F27-'[1]EU - country'!F27</f>
        <v>-11310.754472467466</v>
      </c>
      <c r="E27" s="148">
        <f>Spain!E$17</f>
        <v>19559</v>
      </c>
      <c r="F27" s="13">
        <f>Spain!F$17</f>
        <v>11861</v>
      </c>
      <c r="G27" s="13">
        <f>Spain!G$17</f>
        <v>19055.89282760106</v>
      </c>
      <c r="H27" s="13">
        <f>Spain!H$17</f>
        <v>18458.90806822118</v>
      </c>
      <c r="I27" s="13">
        <f>Spain!I$17</f>
        <v>22128.272796910118</v>
      </c>
      <c r="J27" s="13">
        <f>Spain!J$17</f>
        <v>4940.64431367651</v>
      </c>
      <c r="K27" s="13">
        <f>Spain!K$17</f>
        <v>39760.614122054656</v>
      </c>
      <c r="L27" s="13">
        <f>Spain!L$17</f>
        <v>28512.2597988069</v>
      </c>
      <c r="M27" s="13">
        <f>Spain!M$17</f>
        <v>21491</v>
      </c>
      <c r="N27" s="13">
        <f>Spain!N$17</f>
        <v>21134</v>
      </c>
      <c r="O27" s="13">
        <f>Spain!O$17</f>
        <v>17180</v>
      </c>
      <c r="P27" s="47">
        <f>Spain!P$17</f>
        <v>25909</v>
      </c>
      <c r="R27" s="3"/>
    </row>
    <row r="28" spans="1:18" ht="12.75">
      <c r="A28" s="27" t="s">
        <v>60</v>
      </c>
      <c r="B28" s="35">
        <f t="shared" si="2"/>
        <v>-1</v>
      </c>
      <c r="C28" s="63">
        <f>E28-'[1]EU - country'!E28</f>
        <v>0</v>
      </c>
      <c r="D28" s="13">
        <f>F28-'[1]EU - country'!F28</f>
        <v>-424</v>
      </c>
      <c r="E28" s="148">
        <f>Switzerland!E$28</f>
        <v>0</v>
      </c>
      <c r="F28" s="13">
        <f>Switzerland!F$28</f>
        <v>3</v>
      </c>
      <c r="G28" s="13">
        <f>Switzerland!G$28</f>
        <v>33</v>
      </c>
      <c r="H28" s="13">
        <f>Switzerland!H$28</f>
        <v>532</v>
      </c>
      <c r="I28" s="13">
        <f>Switzerland!I$28</f>
        <v>96</v>
      </c>
      <c r="J28" s="13">
        <f>Switzerland!J$28</f>
        <v>0</v>
      </c>
      <c r="K28" s="13">
        <f>Switzerland!K$28</f>
        <v>1132</v>
      </c>
      <c r="L28" s="13">
        <f>Switzerland!L$28</f>
        <v>0</v>
      </c>
      <c r="M28" s="13">
        <f>Switzerland!M$28</f>
        <v>168</v>
      </c>
      <c r="N28" s="13">
        <f>Switzerland!N$28</f>
        <v>0</v>
      </c>
      <c r="O28" s="13">
        <f>Switzerland!O$28</f>
        <v>293</v>
      </c>
      <c r="P28" s="47">
        <f>Switzerland!P$28</f>
        <v>1</v>
      </c>
      <c r="R28" s="3"/>
    </row>
    <row r="29" spans="1:16" ht="12.75">
      <c r="A29" s="27" t="s">
        <v>1</v>
      </c>
      <c r="B29" s="35">
        <f t="shared" si="2"/>
        <v>-0.12167324916524555</v>
      </c>
      <c r="C29" s="63">
        <f>E29-'[1]EU - country'!E29</f>
        <v>-31140.481</v>
      </c>
      <c r="D29" s="13">
        <f>F29-'[1]EU - country'!F29</f>
        <v>-30088</v>
      </c>
      <c r="E29" s="148">
        <f>Netherlands!E$15</f>
        <v>61290.519</v>
      </c>
      <c r="F29" s="13">
        <f>Netherlands!F$15</f>
        <v>69781</v>
      </c>
      <c r="G29" s="13">
        <f>Netherlands!G$15</f>
        <v>62952</v>
      </c>
      <c r="H29" s="13">
        <f>Netherlands!H$15</f>
        <v>53848</v>
      </c>
      <c r="I29" s="13">
        <f>Netherlands!I$15</f>
        <v>45000</v>
      </c>
      <c r="J29" s="13">
        <f>Netherlands!J$15</f>
        <v>25000</v>
      </c>
      <c r="K29" s="13">
        <f>Netherlands!K$15</f>
        <v>46000</v>
      </c>
      <c r="L29" s="13">
        <f>Netherlands!L$15</f>
        <v>39000</v>
      </c>
      <c r="M29" s="13">
        <f>Netherlands!M$15</f>
        <v>43000</v>
      </c>
      <c r="N29" s="13">
        <f>Netherlands!N$15</f>
        <v>12000</v>
      </c>
      <c r="O29" s="13">
        <f>Netherlands!O$15</f>
        <v>23000</v>
      </c>
      <c r="P29" s="47">
        <f>Netherlands!P$15</f>
        <v>34000</v>
      </c>
    </row>
    <row r="30" spans="1:18" ht="13.5" thickBot="1">
      <c r="A30" s="38" t="s">
        <v>170</v>
      </c>
      <c r="B30" s="36"/>
      <c r="C30" s="64">
        <f>E30-'[1]EU - country'!E30</f>
        <v>-898</v>
      </c>
      <c r="D30" s="15">
        <f>F30-'[1]EU - country'!F30</f>
        <v>-2150</v>
      </c>
      <c r="E30" s="149">
        <f>UK!E$19</f>
        <v>0</v>
      </c>
      <c r="F30" s="15">
        <f>UK!F$19</f>
        <v>0</v>
      </c>
      <c r="G30" s="15">
        <f>UK!G$19</f>
        <v>750</v>
      </c>
      <c r="H30" s="15">
        <f>UK!H$19</f>
        <v>800</v>
      </c>
      <c r="I30" s="15">
        <f>UK!I$19</f>
        <v>1500</v>
      </c>
      <c r="J30" s="15">
        <f>UK!J$19</f>
        <v>900</v>
      </c>
      <c r="K30" s="15">
        <f>UK!K$19</f>
        <v>1300</v>
      </c>
      <c r="L30" s="15">
        <f>UK!L$19</f>
        <v>1500</v>
      </c>
      <c r="M30" s="15">
        <f>UK!M$19</f>
        <v>1200</v>
      </c>
      <c r="N30" s="15">
        <f>UK!N$19</f>
        <v>500</v>
      </c>
      <c r="O30" s="15">
        <f>UK!O$19</f>
        <v>300</v>
      </c>
      <c r="P30" s="48">
        <f>UK!P$19</f>
        <v>0</v>
      </c>
      <c r="R30" s="3"/>
    </row>
    <row r="31" spans="1:16" ht="13.5" thickBot="1">
      <c r="A31" s="40" t="s">
        <v>23</v>
      </c>
      <c r="B31" s="41">
        <f t="shared" si="2"/>
        <v>0.07317606888864671</v>
      </c>
      <c r="C31" s="65">
        <f>E31-'[1]EU - country'!E31</f>
        <v>-98424.80452186907</v>
      </c>
      <c r="D31" s="42">
        <f>F31-'[1]EU - country'!F31</f>
        <v>-100447.77351442704</v>
      </c>
      <c r="E31" s="137">
        <f aca="true" t="shared" si="3" ref="E31:J31">SUM(E19:E30)</f>
        <v>127395.7638605575</v>
      </c>
      <c r="F31" s="42">
        <f t="shared" si="3"/>
        <v>118709.0986779879</v>
      </c>
      <c r="G31" s="42">
        <f t="shared" si="3"/>
        <v>157503.70980840042</v>
      </c>
      <c r="H31" s="42">
        <f t="shared" si="3"/>
        <v>114608.640445166</v>
      </c>
      <c r="I31" s="42">
        <f t="shared" si="3"/>
        <v>133413.2517757981</v>
      </c>
      <c r="J31" s="42">
        <f t="shared" si="3"/>
        <v>49626.64431367651</v>
      </c>
      <c r="K31" s="42">
        <f aca="true" t="shared" si="4" ref="K31:P31">SUM(K19:K30)</f>
        <v>141358.12157305106</v>
      </c>
      <c r="L31" s="42">
        <f t="shared" si="4"/>
        <v>109839.65628555002</v>
      </c>
      <c r="M31" s="42">
        <f t="shared" si="4"/>
        <v>114320</v>
      </c>
      <c r="N31" s="42">
        <f t="shared" si="4"/>
        <v>48250</v>
      </c>
      <c r="O31" s="42">
        <f t="shared" si="4"/>
        <v>107227</v>
      </c>
      <c r="P31" s="128">
        <f t="shared" si="4"/>
        <v>129134</v>
      </c>
    </row>
    <row r="32" spans="1:16" ht="12.75">
      <c r="A32" s="3" t="s">
        <v>165</v>
      </c>
      <c r="P32" s="1"/>
    </row>
    <row r="33" spans="1:16" ht="12.75">
      <c r="A33" s="66" t="s">
        <v>172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2.75">
      <c r="A34" s="66"/>
      <c r="O34" s="1"/>
      <c r="P34" s="1"/>
    </row>
    <row r="35" spans="1:16" ht="12.75">
      <c r="A35" s="9"/>
      <c r="B35" s="12"/>
      <c r="C35" s="12"/>
      <c r="F35" s="12"/>
      <c r="O35" s="1"/>
      <c r="P35" s="1"/>
    </row>
    <row r="36" spans="1:17" ht="12.75">
      <c r="A36" s="94"/>
      <c r="B36" s="12"/>
      <c r="C36" s="12"/>
      <c r="F36" s="12"/>
      <c r="O36" s="12"/>
      <c r="P36" s="12"/>
      <c r="Q36" s="12"/>
    </row>
    <row r="37" spans="1:17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2"/>
    </row>
    <row r="38" spans="1:17" ht="12.75">
      <c r="A38" s="12"/>
      <c r="B38" s="12"/>
      <c r="C38" s="12"/>
      <c r="F38" s="12"/>
      <c r="O38" s="13"/>
      <c r="P38" s="13"/>
      <c r="Q38" s="12"/>
    </row>
    <row r="39" spans="1:18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11"/>
      <c r="R39" s="9"/>
    </row>
    <row r="40" spans="1:18" ht="12.75">
      <c r="A40" s="12"/>
      <c r="B40" s="12"/>
      <c r="C40" s="12"/>
      <c r="F40" s="12"/>
      <c r="O40" s="20"/>
      <c r="P40" s="20"/>
      <c r="Q40" s="13"/>
      <c r="R40" s="9"/>
    </row>
    <row r="41" spans="1:18" ht="12.75">
      <c r="A41" s="12"/>
      <c r="B41" s="12"/>
      <c r="C41" s="12"/>
      <c r="F41" s="12"/>
      <c r="O41" s="20"/>
      <c r="P41" s="20"/>
      <c r="Q41" s="13"/>
      <c r="R41" s="9"/>
    </row>
    <row r="42" spans="1:18" ht="12.75">
      <c r="A42" s="12"/>
      <c r="B42" s="12"/>
      <c r="C42" s="12"/>
      <c r="F42" s="12"/>
      <c r="O42" s="20"/>
      <c r="P42" s="20"/>
      <c r="Q42" s="13"/>
      <c r="R42" s="9"/>
    </row>
    <row r="43" spans="1:18" ht="12.75">
      <c r="A43" s="12"/>
      <c r="B43" s="12"/>
      <c r="C43" s="12"/>
      <c r="F43" s="12"/>
      <c r="O43" s="20"/>
      <c r="P43" s="20"/>
      <c r="Q43" s="13"/>
      <c r="R43" s="9"/>
    </row>
    <row r="44" spans="1:18" ht="12.75">
      <c r="A44" s="12"/>
      <c r="B44" s="12"/>
      <c r="C44" s="12"/>
      <c r="F44" s="12"/>
      <c r="O44" s="20"/>
      <c r="P44" s="20"/>
      <c r="Q44" s="13"/>
      <c r="R44" s="9"/>
    </row>
    <row r="45" spans="1:18" ht="12.75">
      <c r="A45" s="12"/>
      <c r="B45" s="12"/>
      <c r="C45" s="12"/>
      <c r="F45" s="12"/>
      <c r="O45" s="20"/>
      <c r="P45" s="20"/>
      <c r="Q45" s="13"/>
      <c r="R45" s="9"/>
    </row>
    <row r="46" spans="1:18" ht="12.75">
      <c r="A46" s="12"/>
      <c r="B46" s="12"/>
      <c r="C46" s="12"/>
      <c r="F46" s="12"/>
      <c r="O46" s="20"/>
      <c r="P46" s="20"/>
      <c r="Q46" s="13"/>
      <c r="R46" s="9"/>
    </row>
    <row r="47" spans="1:1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13"/>
      <c r="R47" s="9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  <c r="P48" s="20"/>
      <c r="Q48" s="13"/>
      <c r="R48" s="9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13"/>
      <c r="R49" s="9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  <c r="P50" s="20"/>
      <c r="Q50" s="13"/>
      <c r="R50" s="9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13"/>
      <c r="R51" s="9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/>
      <c r="P52" s="20"/>
      <c r="Q52" s="13"/>
      <c r="R52" s="9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13"/>
      <c r="R53" s="9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0"/>
      <c r="Q54" s="13"/>
      <c r="R54" s="9"/>
    </row>
    <row r="55" spans="1:18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/>
      <c r="P55" s="20"/>
      <c r="Q55" s="14"/>
      <c r="R55" s="9"/>
    </row>
    <row r="56" spans="1:1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/>
      <c r="P56" s="20"/>
      <c r="Q56" s="12"/>
    </row>
    <row r="57" spans="1:18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/>
      <c r="P57" s="20"/>
      <c r="Q57" s="13"/>
      <c r="R57" s="9"/>
    </row>
    <row r="58" spans="1:18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/>
      <c r="P58" s="20"/>
      <c r="Q58" s="13"/>
      <c r="R58" s="9"/>
    </row>
    <row r="59" spans="1:18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/>
      <c r="P59" s="20"/>
      <c r="Q59" s="13"/>
      <c r="R59" s="9"/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/>
      <c r="P60" s="20"/>
      <c r="Q60" s="13"/>
      <c r="R60" s="9"/>
    </row>
    <row r="61" spans="1:1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/>
      <c r="P61" s="20"/>
      <c r="Q61" s="13"/>
      <c r="R61" s="9"/>
    </row>
    <row r="62" spans="1:18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/>
      <c r="P62" s="20"/>
      <c r="Q62" s="14"/>
      <c r="R62" s="9"/>
    </row>
    <row r="63" spans="1:17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12"/>
    </row>
    <row r="64" spans="1:17" ht="12.75">
      <c r="A64" s="12"/>
      <c r="B64" s="12"/>
      <c r="C64" s="12"/>
      <c r="F64" s="12"/>
      <c r="O64" s="13"/>
      <c r="P64" s="13"/>
      <c r="Q64" s="12"/>
    </row>
    <row r="65" spans="1:17" ht="12.75">
      <c r="A65" s="12"/>
      <c r="B65" s="12"/>
      <c r="C65" s="12"/>
      <c r="F65" s="12"/>
      <c r="O65" s="13"/>
      <c r="P65" s="13"/>
      <c r="Q65" s="12"/>
    </row>
    <row r="66" spans="1:17" ht="12.75">
      <c r="A66" s="12"/>
      <c r="B66" s="12"/>
      <c r="C66" s="12"/>
      <c r="F66" s="12"/>
      <c r="O66" s="13"/>
      <c r="P66" s="13"/>
      <c r="Q66" s="12"/>
    </row>
    <row r="67" spans="1:17" ht="12.75">
      <c r="A67" s="12"/>
      <c r="B67" s="12"/>
      <c r="C67" s="12"/>
      <c r="F67" s="12"/>
      <c r="O67" s="17"/>
      <c r="P67" s="17"/>
      <c r="Q67" s="12"/>
    </row>
    <row r="68" spans="1:17" ht="12.75">
      <c r="A68" s="12"/>
      <c r="B68" s="12"/>
      <c r="C68" s="12"/>
      <c r="F68" s="12"/>
      <c r="O68" s="17"/>
      <c r="P68" s="17"/>
      <c r="Q68" s="12"/>
    </row>
    <row r="69" spans="1:17" ht="12.75">
      <c r="A69" s="12"/>
      <c r="B69" s="12"/>
      <c r="C69" s="12"/>
      <c r="F69" s="12"/>
      <c r="O69" s="13"/>
      <c r="P69" s="17"/>
      <c r="Q69" s="12"/>
    </row>
    <row r="70" spans="1:17" ht="12.75">
      <c r="A70" s="12"/>
      <c r="B70" s="12"/>
      <c r="C70" s="12"/>
      <c r="F70" s="12"/>
      <c r="O70" s="13"/>
      <c r="P70" s="13"/>
      <c r="Q70" s="12"/>
    </row>
    <row r="71" spans="1:17" ht="12.75">
      <c r="A71" s="12"/>
      <c r="B71" s="12"/>
      <c r="C71" s="12"/>
      <c r="F71" s="12"/>
      <c r="O71" s="13"/>
      <c r="P71" s="13"/>
      <c r="Q71" s="12"/>
    </row>
    <row r="72" spans="1:17" ht="12.75">
      <c r="A72" s="12"/>
      <c r="B72" s="12"/>
      <c r="C72" s="12"/>
      <c r="F72" s="12"/>
      <c r="O72" s="13"/>
      <c r="P72" s="13"/>
      <c r="Q72" s="12"/>
    </row>
    <row r="73" spans="1:17" ht="12.75">
      <c r="A73" s="12"/>
      <c r="B73" s="12"/>
      <c r="C73" s="12"/>
      <c r="F73" s="12"/>
      <c r="O73" s="13"/>
      <c r="P73" s="13"/>
      <c r="Q73" s="12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4"/>
      <c r="Q74" s="12"/>
    </row>
    <row r="75" spans="1:17" ht="12.75">
      <c r="A75" s="12"/>
      <c r="B75" s="12"/>
      <c r="C75" s="12"/>
      <c r="F75" s="12"/>
      <c r="O75" s="12"/>
      <c r="P75" s="12"/>
      <c r="Q75" s="12"/>
    </row>
    <row r="76" spans="1:17" ht="12.75">
      <c r="A76" s="12"/>
      <c r="B76" s="12"/>
      <c r="C76" s="12"/>
      <c r="F76" s="12"/>
      <c r="O76" s="12"/>
      <c r="P76" s="12"/>
      <c r="Q76" s="12"/>
    </row>
    <row r="77" spans="1:17" ht="12.75">
      <c r="A77" s="12"/>
      <c r="B77" s="12"/>
      <c r="C77" s="12"/>
      <c r="F77" s="12"/>
      <c r="O77" s="12"/>
      <c r="P77" s="12"/>
      <c r="Q77" s="12"/>
    </row>
    <row r="78" spans="1:17" ht="12.75">
      <c r="A78" s="12"/>
      <c r="B78" s="12"/>
      <c r="C78" s="12"/>
      <c r="F78" s="12"/>
      <c r="O78" s="12"/>
      <c r="P78" s="12"/>
      <c r="Q78" s="12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</row>
    <row r="80" spans="1:17" ht="12.75">
      <c r="A80" s="12"/>
      <c r="B80" s="12"/>
      <c r="C80" s="12"/>
      <c r="F80" s="12"/>
      <c r="O80" s="12"/>
      <c r="P80" s="12"/>
      <c r="Q80" s="12"/>
    </row>
    <row r="81" spans="1:17" ht="12.75">
      <c r="A81" s="12"/>
      <c r="B81" s="12"/>
      <c r="C81" s="12"/>
      <c r="F81" s="12"/>
      <c r="O81" s="12"/>
      <c r="P81" s="12"/>
      <c r="Q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421875" style="9" customWidth="1"/>
    <col min="6" max="14" width="10.7109375" style="9" customWidth="1"/>
  </cols>
  <sheetData>
    <row r="1" spans="1:14" ht="13.5" thickBot="1">
      <c r="A1" s="52" t="s">
        <v>92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49">
        <v>39934</v>
      </c>
    </row>
    <row r="2" spans="1:15" ht="12.75">
      <c r="A2" s="53" t="s">
        <v>20</v>
      </c>
      <c r="B2" s="60"/>
      <c r="C2" s="101">
        <f>E2-'[1]EU - variety'!E2</f>
        <v>0</v>
      </c>
      <c r="D2" s="90">
        <f>F2-'[1]EU - variety'!F2</f>
        <v>0</v>
      </c>
      <c r="E2" s="56">
        <f>Italy!E$2</f>
        <v>0</v>
      </c>
      <c r="F2" s="90">
        <f>Italy!F$2</f>
        <v>0</v>
      </c>
      <c r="G2" s="90">
        <f>Italy!G$2</f>
        <v>0</v>
      </c>
      <c r="H2" s="90">
        <f>Italy!H$2</f>
        <v>0</v>
      </c>
      <c r="I2" s="90">
        <f>Italy!I$2</f>
        <v>0</v>
      </c>
      <c r="J2" s="90">
        <f>Italy!J$2</f>
        <v>0</v>
      </c>
      <c r="K2" s="90">
        <f>Italy!K$2</f>
        <v>0</v>
      </c>
      <c r="L2" s="90">
        <f>Italy!L$2</f>
        <v>0</v>
      </c>
      <c r="M2" s="90">
        <f>Italy!M$2</f>
        <v>0</v>
      </c>
      <c r="N2" s="92">
        <f>Italy!N$2</f>
        <v>0</v>
      </c>
      <c r="O2" s="89"/>
    </row>
    <row r="3" spans="1:15" ht="12.75">
      <c r="A3" s="53" t="s">
        <v>4</v>
      </c>
      <c r="B3" s="60">
        <f>(E3-F3)/F3</f>
        <v>-0.7916152897657214</v>
      </c>
      <c r="C3" s="101">
        <f>E3-'[1]EU - variety'!E3</f>
        <v>164</v>
      </c>
      <c r="D3" s="90">
        <f>F3-'[1]EU - variety'!F3</f>
        <v>-3566</v>
      </c>
      <c r="E3" s="56">
        <f>Austria!E$3+Belgium!E$2+Denmark!E$2+France!E$4+Germany!E$2+Switzerland!E$2+Netherlands!E$2+Poland!E$2</f>
        <v>338</v>
      </c>
      <c r="F3" s="90">
        <f>Austria!F$3+Belgium!F$2+Denmark!F$2+France!F$4+Germany!F$2+Switzerland!F$2+Netherlands!F$2+Poland!F$2</f>
        <v>1622</v>
      </c>
      <c r="G3" s="90">
        <f>Austria!G$3+Belgium!G$2+Denmark!G$2+France!G$4+Germany!G$2+Switzerland!G$2+Netherlands!G$2+Poland!G$2</f>
        <v>1317</v>
      </c>
      <c r="H3" s="90">
        <f>Austria!H$3+Belgium!H$2+Denmark!H$2+France!H$4+Germany!H$2+Switzerland!H$2+Netherlands!H$2+Poland!H$2</f>
        <v>2002</v>
      </c>
      <c r="I3" s="90">
        <f>Austria!I$3+Belgium!I$2+Denmark!I$2+France!I$4+Germany!I$2+Switzerland!I$2+Netherlands!I$2+Poland!I$2</f>
        <v>1621</v>
      </c>
      <c r="J3" s="90">
        <f>Austria!J$3+Belgium!J$2+Denmark!J$2+France!J$4+Germany!J$2+Switzerland!J$2+Netherlands!J$2+Poland!J$2</f>
        <v>0</v>
      </c>
      <c r="K3" s="90">
        <f>Austria!K$3+Belgium!K$2+Denmark!K$2+France!K$4+Germany!K$2+Switzerland!K$2+Netherlands!K$2+Poland!K$2</f>
        <v>846</v>
      </c>
      <c r="L3" s="90">
        <f>Austria!L$3+Belgium!L$2+Denmark!L$2+France!L$4+Germany!L$2+Switzerland!L$2+Netherlands!L$2+Poland!L$2</f>
        <v>137</v>
      </c>
      <c r="M3" s="90">
        <f>Austria!M$3+Belgium!M$2+Denmark!M$2+France!M$4+Germany!M$2+Switzerland!M$2+Netherlands!M$2+Poland!M$2</f>
        <v>160</v>
      </c>
      <c r="N3" s="92">
        <f>Austria!N$3+Belgium!N$2+Denmark!N$2+Germany!N$2+Switzerland!N$2+Netherlands!N$2+Poland!N$2</f>
        <v>2687</v>
      </c>
      <c r="O3" s="3"/>
    </row>
    <row r="4" spans="1:14" ht="12.75">
      <c r="A4" s="53" t="s">
        <v>11</v>
      </c>
      <c r="B4" s="60">
        <f>(E4-F4)/F4</f>
        <v>-0.6698890475667363</v>
      </c>
      <c r="C4" s="101">
        <f>E4-'[1]EU - variety'!E4</f>
        <v>-20328.6</v>
      </c>
      <c r="D4" s="90">
        <f>F4-'[1]EU - variety'!F4</f>
        <v>-26976.679999999997</v>
      </c>
      <c r="E4" s="56">
        <f>Austria!E$4+'Czech Republic'!E2+France!E$5+Germany!E$3+Italy!E$3+Switzerland!E$3+UK!E$2</f>
        <v>10457.4</v>
      </c>
      <c r="F4" s="90">
        <f>Austria!F$4+'Czech Republic'!F2+France!F$5+Germany!F$3+Italy!F$3+Switzerland!F$3+UK!F$2</f>
        <v>31678.44</v>
      </c>
      <c r="G4" s="90">
        <f>Austria!G$4+'Czech Republic'!G2+France!G$5+Germany!G$3+Italy!G$3+Switzerland!G$3+UK!G$2</f>
        <v>30804.190000000002</v>
      </c>
      <c r="H4" s="90">
        <f>Austria!H$4+'Czech Republic'!H2+France!H$5+Germany!H$3+Italy!H$3+Switzerland!H$3+UK!H$2</f>
        <v>27731.21</v>
      </c>
      <c r="I4" s="90">
        <f>Austria!I$4+'Czech Republic'!I2+France!I$5+Germany!I$3+Italy!I$3+Switzerland!I$3+UK!I$2</f>
        <v>44195.4</v>
      </c>
      <c r="J4" s="90">
        <f>Austria!J$4+'Czech Republic'!J2+France!J$5+Germany!J$3+Italy!J$3+Switzerland!J$3+UK!J$2</f>
        <v>14734</v>
      </c>
      <c r="K4" s="90">
        <f>Austria!K$4+'Czech Republic'!K2+France!K$5+Germany!K$3+Italy!K$3+Switzerland!K$3+UK!K$2</f>
        <v>40291</v>
      </c>
      <c r="L4" s="90">
        <f>Austria!L$4+'Czech Republic'!L2+France!L$5+Germany!L$3+Italy!L$3+Switzerland!L$3+UK!L$2</f>
        <v>30446</v>
      </c>
      <c r="M4" s="90">
        <f>Austria!M$4+'Czech Republic'!M2+France!M$5+Germany!M$3+Italy!M$3+Switzerland!M$3+UK!M$2</f>
        <v>43455.2</v>
      </c>
      <c r="N4" s="92">
        <f>Austria!N$4+Germany!N$3+Italy!N$3+Switzerland!N$3+UK!N$2</f>
        <v>16063</v>
      </c>
    </row>
    <row r="5" spans="1:14" ht="12.75">
      <c r="A5" s="53" t="s">
        <v>36</v>
      </c>
      <c r="B5" s="60"/>
      <c r="C5" s="101">
        <f>E5-'[1]EU - variety'!E5</f>
        <v>-15645</v>
      </c>
      <c r="D5" s="90">
        <f>F5-'[1]EU - variety'!F5</f>
        <v>-19850</v>
      </c>
      <c r="E5" s="56">
        <f>UK!E$3</f>
        <v>2355</v>
      </c>
      <c r="F5" s="90">
        <f>UK!F$3</f>
        <v>0</v>
      </c>
      <c r="G5" s="90">
        <f>UK!G$3</f>
        <v>9000</v>
      </c>
      <c r="H5" s="90">
        <f>UK!H$3</f>
        <v>19500</v>
      </c>
      <c r="I5" s="90">
        <f>UK!I$3</f>
        <v>20000</v>
      </c>
      <c r="J5" s="90">
        <f>UK!J$3</f>
        <v>7000</v>
      </c>
      <c r="K5" s="90">
        <f>UK!K$3</f>
        <v>16000</v>
      </c>
      <c r="L5" s="90">
        <f>UK!L$3</f>
        <v>16000</v>
      </c>
      <c r="M5" s="90">
        <f>UK!M$3</f>
        <v>18000</v>
      </c>
      <c r="N5" s="92">
        <f>UK!N$3</f>
        <v>20000</v>
      </c>
    </row>
    <row r="6" spans="1:14" ht="12.75">
      <c r="A6" s="53" t="s">
        <v>29</v>
      </c>
      <c r="B6" s="60"/>
      <c r="C6" s="101">
        <f>E6-'[1]EU - variety'!E6</f>
        <v>-256</v>
      </c>
      <c r="D6" s="90">
        <f>F6-'[1]EU - variety'!F6</f>
        <v>0</v>
      </c>
      <c r="E6" s="56">
        <f>France!E6+UK!E4</f>
        <v>0</v>
      </c>
      <c r="F6" s="90">
        <f>France!F6+UK!F4</f>
        <v>0</v>
      </c>
      <c r="G6" s="90">
        <f>France!G6+UK!G4</f>
        <v>850</v>
      </c>
      <c r="H6" s="90">
        <f>France!H6+UK!H4</f>
        <v>100</v>
      </c>
      <c r="I6" s="90">
        <f>France!I6+UK!I4</f>
        <v>172</v>
      </c>
      <c r="J6" s="90">
        <f>France!J6+UK!J4</f>
        <v>29</v>
      </c>
      <c r="K6" s="90">
        <f>France!K6+UK!K4</f>
        <v>564</v>
      </c>
      <c r="L6" s="90">
        <f>France!L6+UK!L4</f>
        <v>648</v>
      </c>
      <c r="M6" s="90">
        <f>France!M6+UK!M4</f>
        <v>743</v>
      </c>
      <c r="N6" s="92">
        <f>UK!N4</f>
        <v>0</v>
      </c>
    </row>
    <row r="7" spans="1:14" ht="12.75">
      <c r="A7" s="53" t="s">
        <v>33</v>
      </c>
      <c r="B7" s="60"/>
      <c r="C7" s="101">
        <f>E7-'[1]EU - variety'!E7</f>
        <v>0</v>
      </c>
      <c r="D7" s="90">
        <f>F7-'[1]EU - variety'!F7</f>
        <v>0</v>
      </c>
      <c r="E7" s="56">
        <f>Poland!E$3</f>
        <v>0</v>
      </c>
      <c r="F7" s="90">
        <f>Poland!F$3</f>
        <v>0</v>
      </c>
      <c r="G7" s="90">
        <f>Poland!G$3</f>
        <v>0</v>
      </c>
      <c r="H7" s="90">
        <f>Poland!H$3</f>
        <v>0</v>
      </c>
      <c r="I7" s="90">
        <f>Poland!I$3</f>
        <v>0</v>
      </c>
      <c r="J7" s="90">
        <f>Poland!J$3</f>
        <v>0</v>
      </c>
      <c r="K7" s="90">
        <f>Poland!K$3</f>
        <v>0</v>
      </c>
      <c r="L7" s="90">
        <f>Poland!L$3</f>
        <v>0</v>
      </c>
      <c r="M7" s="90">
        <f>Poland!M$3</f>
        <v>1000</v>
      </c>
      <c r="N7" s="92">
        <f>Poland!N$3</f>
        <v>500</v>
      </c>
    </row>
    <row r="8" spans="1:14" ht="12.75">
      <c r="A8" s="53" t="s">
        <v>5</v>
      </c>
      <c r="B8" s="60">
        <f aca="true" t="shared" si="0" ref="B5:B31">(E8-F8)/F8</f>
        <v>-1</v>
      </c>
      <c r="C8" s="101">
        <f>E8-'[1]EU - variety'!E8</f>
        <v>-53</v>
      </c>
      <c r="D8" s="90">
        <f>F8-'[1]EU - variety'!F8</f>
        <v>-250</v>
      </c>
      <c r="E8" s="56">
        <f>Belgium!E$3+Denmark!E$4+Germany!E$4+Switzerland!E$4+UK!E$5</f>
        <v>0</v>
      </c>
      <c r="F8" s="90">
        <f>Belgium!F$3+Denmark!F$4+Germany!F$4+Switzerland!F$4+UK!F$5</f>
        <v>1</v>
      </c>
      <c r="G8" s="90">
        <f>Belgium!G$3+Denmark!G$4+Germany!G$4+Switzerland!G$4+UK!G$5</f>
        <v>32</v>
      </c>
      <c r="H8" s="90">
        <f>Belgium!H$3+Denmark!H$4+Germany!H$4+Switzerland!H$4+UK!H$5</f>
        <v>0</v>
      </c>
      <c r="I8" s="90">
        <f>Belgium!I$3+Denmark!I$4+Germany!I$4+Switzerland!I$4+UK!I$5</f>
        <v>3</v>
      </c>
      <c r="J8" s="90">
        <f>Belgium!J$3+Denmark!J$4+Germany!J$4+Switzerland!J$4+UK!J$5</f>
        <v>0</v>
      </c>
      <c r="K8" s="90">
        <f>Belgium!K$3+Denmark!K$4+Germany!K$4+Switzerland!K$4+UK!K$5</f>
        <v>0</v>
      </c>
      <c r="L8" s="90">
        <f>Belgium!L$3+Denmark!L$4+Germany!L$4+Switzerland!L$4+UK!L$5</f>
        <v>0</v>
      </c>
      <c r="M8" s="90">
        <f>Belgium!M$3+Denmark!M$4+Germany!M$4+Switzerland!M$4+UK!M$5</f>
        <v>2</v>
      </c>
      <c r="N8" s="92">
        <f>Belgium!N$3+Denmark!N$4+Germany!N$4+Switzerland!N$4+UK!N$5</f>
        <v>11</v>
      </c>
    </row>
    <row r="9" spans="1:14" ht="12.75">
      <c r="A9" s="53" t="s">
        <v>61</v>
      </c>
      <c r="B9" s="60">
        <f t="shared" si="0"/>
        <v>-0.49330124443756074</v>
      </c>
      <c r="C9" s="101">
        <f>E9-'[1]EU - variety'!E9</f>
        <v>-32174.4</v>
      </c>
      <c r="D9" s="90">
        <f>F9-'[1]EU - variety'!F9</f>
        <v>-30101.5</v>
      </c>
      <c r="E9" s="56">
        <f>France!E$8+Italy!E$4</f>
        <v>17011.6</v>
      </c>
      <c r="F9" s="90">
        <f>France!F$8+Italy!F$4</f>
        <v>33573.4</v>
      </c>
      <c r="G9" s="90">
        <f>France!G$8+Italy!G$4</f>
        <v>24115</v>
      </c>
      <c r="H9" s="90">
        <f>France!H$8+Italy!H$4</f>
        <v>34255</v>
      </c>
      <c r="I9" s="90">
        <f>France!I$8+Italy!I$4</f>
        <v>19802</v>
      </c>
      <c r="J9" s="90">
        <f>France!J$8+Italy!J$4</f>
        <v>5176</v>
      </c>
      <c r="K9" s="90">
        <f>France!K$8+Italy!K$4</f>
        <v>19109</v>
      </c>
      <c r="L9" s="90">
        <f>France!L$8+Italy!L$4</f>
        <v>10611</v>
      </c>
      <c r="M9" s="90">
        <f>France!M$8+Italy!M$4</f>
        <v>10692</v>
      </c>
      <c r="N9" s="92"/>
    </row>
    <row r="10" spans="1:14" ht="12.75">
      <c r="A10" s="53" t="s">
        <v>2</v>
      </c>
      <c r="B10" s="60">
        <f t="shared" si="0"/>
        <v>-0.6875389163298907</v>
      </c>
      <c r="C10" s="101">
        <f>E10-'[1]EU - variety'!E10</f>
        <v>-13493.79</v>
      </c>
      <c r="D10" s="90">
        <f>F10-'[1]EU - variety'!F10</f>
        <v>-21349</v>
      </c>
      <c r="E10" s="56">
        <f>Austria!E$5+Belgium!E$4+Denmark!E$5+France!E$9+Germany!E$5+Italy!E$5+Switzerland!E$5+Netherlands!E$3+Poland!E$4</f>
        <v>8350.21</v>
      </c>
      <c r="F10" s="90">
        <f>Austria!F$5+Belgium!F$4+Denmark!F$5+France!F$9+Germany!F$5+Italy!F$5+Switzerland!F$5+Netherlands!F$3+Poland!F$4</f>
        <v>26724</v>
      </c>
      <c r="G10" s="90">
        <f>Austria!G$5+Belgium!G$4+Denmark!G$5+France!G$9+Germany!G$5+Italy!G$5+Switzerland!G$5+Netherlands!G$3+Poland!G$4</f>
        <v>25745.489999999998</v>
      </c>
      <c r="H10" s="90">
        <f>Austria!H$5+Belgium!H$4+Denmark!H$5+France!H$9+Germany!H$5+Italy!H$5+Switzerland!H$5+Netherlands!H$3+Poland!H$4</f>
        <v>39603.16</v>
      </c>
      <c r="I10" s="90">
        <f>Austria!I$5+Belgium!I$4+Denmark!I$5+France!I$9+Germany!I$5+Italy!I$5+Switzerland!I$5+Netherlands!I$3+Poland!I$4</f>
        <v>24471.17</v>
      </c>
      <c r="J10" s="90">
        <f>Austria!J$5+Belgium!J$4+Denmark!J$5+France!J$9+Germany!J$5+Italy!J$5+Switzerland!J$5+Netherlands!J$3+Poland!J$4</f>
        <v>12898</v>
      </c>
      <c r="K10" s="90">
        <f>Austria!K$5+Belgium!K$4+Denmark!K$5+France!K$9+Germany!K$5+Italy!K$5+Switzerland!K$5+Netherlands!K$3+Poland!K$4</f>
        <v>26886</v>
      </c>
      <c r="L10" s="90">
        <f>Austria!L$5+Belgium!L$4+Denmark!L$5+France!L$9+Germany!L$5+Italy!L$5+Switzerland!L$5+Netherlands!L$3+Poland!L$4</f>
        <v>17555</v>
      </c>
      <c r="M10" s="90">
        <f>Austria!M$5+Belgium!M$4+Denmark!M$5+France!M$9+Germany!M$5+Italy!M$5+Switzerland!M$5+Netherlands!M$3+Poland!M$4</f>
        <v>31642</v>
      </c>
      <c r="N10" s="92">
        <f>Austria!N$5+Belgium!N$4+Denmark!N$5+Germany!N$5+Italy!N$5+Switzerland!N$5+Netherlands!N$3+Poland!N$4</f>
        <v>24569</v>
      </c>
    </row>
    <row r="11" spans="1:14" ht="12.75">
      <c r="A11" s="53" t="s">
        <v>12</v>
      </c>
      <c r="B11" s="60">
        <f t="shared" si="0"/>
        <v>-0.3282963144328223</v>
      </c>
      <c r="C11" s="101">
        <f>E11-'[1]EU - variety'!E11</f>
        <v>-28778.4</v>
      </c>
      <c r="D11" s="90">
        <f>F11-'[1]EU - variety'!F11</f>
        <v>-25417.728825853657</v>
      </c>
      <c r="E11" s="56">
        <f>Austria!E$7+Denmark!E$6+France!E$10+Germany!E$6+Italy!E$6+Spain!E$2</f>
        <v>25671.6</v>
      </c>
      <c r="F11" s="90">
        <f>Austria!F$7+Denmark!F$6+France!F$10+Germany!F$6+Italy!F$6+Spain!F$2</f>
        <v>38218.63799708534</v>
      </c>
      <c r="G11" s="90">
        <f>Austria!G$7+Denmark!G$6+France!G$10+Germany!G$6+Italy!G$6+Spain!G$2</f>
        <v>52313.415339949024</v>
      </c>
      <c r="H11" s="90">
        <f>Austria!H$7+Denmark!H$6+France!H$10+Germany!H$6+Italy!H$6+Spain!H$2</f>
        <v>34509.86102167283</v>
      </c>
      <c r="I11" s="90">
        <f>Austria!I$7+Denmark!I$6+France!I$10+Germany!I$6+Italy!I$6+Spain!I$2</f>
        <v>53960.86750188427</v>
      </c>
      <c r="J11" s="90">
        <f>Austria!J$7+Denmark!J$6+France!J$10+Germany!J$6+Italy!J$6+Spain!J$2</f>
        <v>15890.655121871958</v>
      </c>
      <c r="K11" s="90">
        <f>Austria!K$7+Denmark!K$6+France!K$10+Germany!K$6+Italy!K$6+Spain!K$2</f>
        <v>30614</v>
      </c>
      <c r="L11" s="90">
        <f>Austria!L$7+Denmark!L$6+France!L$10+Germany!L$6+Italy!L$6+Spain!L$2</f>
        <v>41306.753939274226</v>
      </c>
      <c r="M11" s="90">
        <f>Austria!M$7+Denmark!M$6+France!M$10+Germany!M$6+Italy!M$6+Spain!M$2</f>
        <v>26115.92</v>
      </c>
      <c r="N11" s="92">
        <f>Austria!N$7+Denmark!N$6+Germany!N$6+Italy!N$6+Spain!N$2</f>
        <v>17860.6</v>
      </c>
    </row>
    <row r="12" spans="1:14" ht="12.75">
      <c r="A12" s="53" t="s">
        <v>9</v>
      </c>
      <c r="B12" s="60">
        <f t="shared" si="0"/>
        <v>-0.13602434097182187</v>
      </c>
      <c r="C12" s="101">
        <f>E12-'[1]EU - variety'!E12</f>
        <v>-21638</v>
      </c>
      <c r="D12" s="90">
        <f>F12-'[1]EU - variety'!F12</f>
        <v>-34794.43433673138</v>
      </c>
      <c r="E12" s="56">
        <f>Austria!E$8+'Czech Republic'!E$3+Denmark!E$7+France!E$11+Germany!E$7+Italy!E$7+Spain!E$3+Switzerland!E$6+UK!E$6+Poland!E$5</f>
        <v>20922</v>
      </c>
      <c r="F12" s="90">
        <f>Austria!F$8+'Czech Republic'!F$3+Denmark!F$7+France!F$11+Germany!F$7+Italy!F$7+Spain!F$3+Switzerland!F$6+UK!F$6+Poland!F$5</f>
        <v>24215.96</v>
      </c>
      <c r="G12" s="90">
        <f>Austria!G$8+'Czech Republic'!G$3+Denmark!G$7+France!G$11+Germany!G$7+Italy!G$7+Spain!G$3+Switzerland!G$6+UK!G$6+Poland!G$5</f>
        <v>27908.800855748683</v>
      </c>
      <c r="H12" s="90">
        <f>Austria!H$8+'Czech Republic'!H$3+Denmark!H$7+France!H$11+Germany!H$7+Italy!H$7+Spain!H$3+Switzerland!H$6+UK!H$6+Poland!H$5</f>
        <v>26082.533281780474</v>
      </c>
      <c r="I12" s="90">
        <f>Austria!I$8+'Czech Republic'!I$3+Denmark!I$7+France!I$11+Germany!I$7+Italy!I$7+Spain!I$3+Switzerland!I$6+UK!I$6+Poland!I$5</f>
        <v>39859.01606074361</v>
      </c>
      <c r="J12" s="90">
        <f>Austria!J$8+'Czech Republic'!J$3+Denmark!J$7+France!J$11+Germany!J$7+Italy!J$7+Spain!J$3+Switzerland!J$6+UK!J$6+Poland!J$5</f>
        <v>13602</v>
      </c>
      <c r="K12" s="90">
        <f>Austria!K$8+'Czech Republic'!K$3+Denmark!K$7+France!K$11+Germany!K$7+Italy!K$7+Spain!K$3+Switzerland!K$6+UK!K$6+Poland!K$5</f>
        <v>21774.46846789769</v>
      </c>
      <c r="L12" s="90">
        <f>Austria!L$8+'Czech Republic'!L$3+Denmark!L$7+France!L$11+Germany!L$7+Italy!L$7+Spain!L$3+Switzerland!L$6+UK!L$6+Poland!L$5</f>
        <v>30773.939805688682</v>
      </c>
      <c r="M12" s="90">
        <f>Austria!M$8+'Czech Republic'!M$3+Denmark!M$7+France!M$11+Germany!M$7+Italy!M$7+Spain!M$3+Switzerland!M$6+UK!M$6+Poland!M$5</f>
        <v>29817</v>
      </c>
      <c r="N12" s="92">
        <f>Austria!N$8+'Czech Republic'!N$3+Denmark!N$7+Germany!N$7+Italy!N$7+Spain!N$3+Switzerland!N$6+UK!N$6+Poland!N$5</f>
        <v>15195</v>
      </c>
    </row>
    <row r="13" spans="1:14" ht="12.75">
      <c r="A13" s="53" t="s">
        <v>14</v>
      </c>
      <c r="B13" s="60">
        <f t="shared" si="0"/>
        <v>3.9655787762223894E-05</v>
      </c>
      <c r="C13" s="101">
        <f>E13-'[1]EU - variety'!E13</f>
        <v>-15078</v>
      </c>
      <c r="D13" s="90">
        <f>F13-'[1]EU - variety'!F13</f>
        <v>-25242</v>
      </c>
      <c r="E13" s="56">
        <f>Austria!E$9+Belgium!E$5+'Czech Republic'!E$4+Denmark!E$8+Germany!E$8+Italy!E$8+Poland!E$6</f>
        <v>25218</v>
      </c>
      <c r="F13" s="90">
        <f>Austria!F$9+Belgium!F$5+'Czech Republic'!F$4+Denmark!F$8+Germany!F$8+Italy!F$8+Poland!F$6</f>
        <v>25217</v>
      </c>
      <c r="G13" s="90">
        <f>Austria!G$9+Belgium!G$5+'Czech Republic'!G$4+Denmark!G$8+Germany!G$8+Italy!G$8+Poland!G$6</f>
        <v>25566</v>
      </c>
      <c r="H13" s="90">
        <f>Austria!H$9+Belgium!H$5+'Czech Republic'!H$4+Denmark!H$8+Germany!H$8+Italy!H$8+Poland!H$6</f>
        <v>20501</v>
      </c>
      <c r="I13" s="90">
        <f>Austria!I$9+Belgium!I$5+'Czech Republic'!I$4+Denmark!I$8+Germany!I$8+Italy!I$8+Poland!I$6</f>
        <v>20275</v>
      </c>
      <c r="J13" s="90">
        <f>Austria!J$9+Belgium!J$5+'Czech Republic'!J$4+Denmark!J$8+Germany!J$8+Italy!J$8+Poland!J$6</f>
        <v>15122</v>
      </c>
      <c r="K13" s="90">
        <f>Austria!K$9+Belgium!K$5+'Czech Republic'!K$4+Denmark!K$8+Germany!K$8+Italy!K$8+Poland!K$6</f>
        <v>20501</v>
      </c>
      <c r="L13" s="90">
        <f>Austria!L$9+Belgium!L$5+'Czech Republic'!L$4+Denmark!L$8+Germany!L$8+Italy!L$8+Poland!L$6</f>
        <v>3940</v>
      </c>
      <c r="M13" s="90">
        <f>Austria!M$9+Belgium!M$5+'Czech Republic'!M$4+Denmark!M$8+Germany!M$8+Italy!M$8+Poland!M$6</f>
        <v>3179.97</v>
      </c>
      <c r="N13" s="92">
        <f>Austria!N$9+Belgium!N$5+'Czech Republic'!N$4+Denmark!N$8+Germany!N$8+Italy!N$8+Poland!N$6</f>
        <v>2719.5</v>
      </c>
    </row>
    <row r="14" spans="1:14" ht="12.75">
      <c r="A14" s="53" t="s">
        <v>3</v>
      </c>
      <c r="B14" s="60">
        <f t="shared" si="0"/>
        <v>-0.4768979598069369</v>
      </c>
      <c r="C14" s="101">
        <f>E14-'[1]EU - variety'!E14</f>
        <v>-146051.11800000002</v>
      </c>
      <c r="D14" s="90">
        <f>F14-'[1]EU - variety'!F14</f>
        <v>-176304.96311930777</v>
      </c>
      <c r="E14" s="56">
        <f>Austria!E$10+Belgium!E$6+'Czech Republic'!E$5+France!E$12+Germany!E$9+Italy!E$9+Spain!E$4+Switzerland!E$8+Netherlands!E$4+Poland!E$7</f>
        <v>300090.882</v>
      </c>
      <c r="F14" s="90">
        <f>Austria!F$10+Belgium!F$6+'Czech Republic'!F$5+France!F$12+Germany!F$9+Italy!F$9+Spain!F$4+Switzerland!F$8+Netherlands!F$4+Poland!F$7</f>
        <v>573675.61</v>
      </c>
      <c r="G14" s="90">
        <f>Austria!G$10+Belgium!G$6+'Czech Republic'!G$5+France!G$12+Germany!G$9+Italy!G$9+Spain!G$4+Switzerland!G$8+Netherlands!G$4+Poland!G$7</f>
        <v>543635.7734655373</v>
      </c>
      <c r="H14" s="90">
        <f>Austria!H$10+Belgium!H$6+'Czech Republic'!H$5+France!H$12+Germany!H$9+Italy!H$9+Spain!H$4+Switzerland!H$8+Netherlands!H$4+Poland!H$7</f>
        <v>551931.0647542528</v>
      </c>
      <c r="I14" s="90">
        <f>Austria!I$10+Belgium!I$6+'Czech Republic'!I$5+France!I$12+Germany!I$9+Italy!I$9+Spain!I$4+Switzerland!I$8+Netherlands!I$4+Poland!I$7</f>
        <v>508112.42759091075</v>
      </c>
      <c r="J14" s="90">
        <f>Austria!J$10+Belgium!J$6+'Czech Republic'!J$5+France!J$12+Germany!J$9+Italy!J$9+Spain!J$4+Switzerland!J$8+Netherlands!J$4+Poland!J$7</f>
        <v>362648.51578373095</v>
      </c>
      <c r="K14" s="90">
        <f>Austria!K$10+Belgium!K$6+'Czech Republic'!K$5+France!K$12+Germany!K$9+Italy!K$9+Spain!K$4+Switzerland!K$8+Netherlands!K$4+Poland!K$7</f>
        <v>504071.84967461764</v>
      </c>
      <c r="L14" s="90">
        <f>Austria!L$10+Belgium!L$6+'Czech Republic'!L$5+France!L$12+Germany!L$9+Italy!L$9+Spain!L$4+Switzerland!L$8+Netherlands!L$4+Poland!L$7</f>
        <v>447178.0553572804</v>
      </c>
      <c r="M14" s="90">
        <f>Austria!M$10+Belgium!M$6+'Czech Republic'!M$5+France!M$12+Germany!M$9+Italy!M$9+Spain!M$4+Switzerland!M$8+Netherlands!M$4+Poland!M$7</f>
        <v>488254.64</v>
      </c>
      <c r="N14" s="92">
        <f>Austria!N$10+Belgium!N$6+'Czech Republic'!N$5+Germany!N$9+Italy!N$9+Spain!N$4+Switzerland!N$8+Netherlands!N$4+Poland!N$7</f>
        <v>432461.6</v>
      </c>
    </row>
    <row r="15" spans="1:14" ht="12.75">
      <c r="A15" s="53" t="s">
        <v>17</v>
      </c>
      <c r="B15" s="60">
        <f t="shared" si="0"/>
        <v>0.27214712227915405</v>
      </c>
      <c r="C15" s="101">
        <f>E15-'[1]EU - variety'!E15</f>
        <v>-27402.199999999997</v>
      </c>
      <c r="D15" s="90">
        <f>F15-'[1]EU - variety'!F15</f>
        <v>-24463.542822777003</v>
      </c>
      <c r="E15" s="56">
        <f>Austria!E$11+France!E$14+Italy!E$10+Spain!E$5+Switzerland!E$9</f>
        <v>55399.8</v>
      </c>
      <c r="F15" s="90">
        <f>Austria!F$11+France!F$14+Italy!F$10+Spain!F$5+Switzerland!F$9</f>
        <v>43548.265</v>
      </c>
      <c r="G15" s="90">
        <f>Austria!G$11+France!G$14+Italy!G$10+Spain!G$5+Switzerland!G$9</f>
        <v>64073.49161046822</v>
      </c>
      <c r="H15" s="90">
        <f>Austria!H$11+France!H$14+Italy!H$10+Spain!H$5+Switzerland!H$9</f>
        <v>47024.074976946766</v>
      </c>
      <c r="I15" s="90">
        <f>Austria!I$11+France!I$14+Italy!I$10+Spain!I$5+Switzerland!I$9</f>
        <v>50395.07177088893</v>
      </c>
      <c r="J15" s="90">
        <f>Austria!J$11+France!J$14+Italy!J$10+Spain!J$5+Switzerland!J$9</f>
        <v>18510.972707097513</v>
      </c>
      <c r="K15" s="90">
        <f>Austria!K$11+France!K$14+Italy!K$10+Spain!K$5+Switzerland!K$9</f>
        <v>34688.351480444566</v>
      </c>
      <c r="L15" s="90">
        <f>Austria!L$11+France!L$14+Italy!L$10+Spain!L$5+Switzerland!L$9</f>
        <v>23257.84393741036</v>
      </c>
      <c r="M15" s="90">
        <f>Austria!M$11+France!M$14+Italy!M$10+Spain!M$5+Switzerland!M$9</f>
        <v>25663.04</v>
      </c>
      <c r="N15" s="92">
        <f>Austria!N$11++Italy!N$10+Spain!N$5+Switzerland!N$9</f>
        <v>12250</v>
      </c>
    </row>
    <row r="16" spans="1:14" ht="12.75">
      <c r="A16" s="53" t="s">
        <v>15</v>
      </c>
      <c r="B16" s="60"/>
      <c r="C16" s="101">
        <f>E16-'[1]EU - variety'!E16</f>
        <v>0</v>
      </c>
      <c r="D16" s="90">
        <f>F16-'[1]EU - variety'!F16</f>
        <v>0</v>
      </c>
      <c r="E16" s="56">
        <f>Denmark!E$9+Germany!E$10</f>
        <v>0</v>
      </c>
      <c r="F16" s="90">
        <f>Denmark!F$9+Germany!F$10</f>
        <v>0</v>
      </c>
      <c r="G16" s="90">
        <f>Denmark!G$9+Germany!G$10</f>
        <v>0</v>
      </c>
      <c r="H16" s="90">
        <f>Denmark!H$9+Germany!H$10</f>
        <v>0</v>
      </c>
      <c r="I16" s="90">
        <f>Denmark!I$9+Germany!I$10</f>
        <v>0</v>
      </c>
      <c r="J16" s="90">
        <f>Denmark!J$9+Germany!J$10</f>
        <v>0</v>
      </c>
      <c r="K16" s="90">
        <f>Denmark!K$9+Germany!K$10</f>
        <v>0</v>
      </c>
      <c r="L16" s="90">
        <f>Denmark!L$9+Germany!L$10</f>
        <v>30</v>
      </c>
      <c r="M16" s="90">
        <f>Denmark!M$9+Germany!M$10</f>
        <v>0</v>
      </c>
      <c r="N16" s="92">
        <f>Denmark!N$9+Germany!N$10</f>
        <v>0</v>
      </c>
    </row>
    <row r="17" spans="1:15" ht="12.75">
      <c r="A17" s="53" t="s">
        <v>10</v>
      </c>
      <c r="B17" s="60">
        <f t="shared" si="0"/>
        <v>-0.40012982251948104</v>
      </c>
      <c r="C17" s="101">
        <f>E17-'[1]EU - variety'!E17</f>
        <v>-13870</v>
      </c>
      <c r="D17" s="90">
        <f>F17-'[1]EU - variety'!F17</f>
        <v>-68296.65000000001</v>
      </c>
      <c r="E17" s="56">
        <f>Austria!E$12+'Czech Republic'!E$6+Denmark!E$10+France!E$16+Germany!E$11+Italy!E$11+Switzerland!E$10+Poland!E$8</f>
        <v>68414</v>
      </c>
      <c r="F17" s="90">
        <f>Austria!F$12+'Czech Republic'!F$6+Denmark!F$10+France!F$16+Germany!F$11+Italy!F$11+Switzerland!F$10+Poland!F$8</f>
        <v>114048.01</v>
      </c>
      <c r="G17" s="90">
        <f>Austria!G$12+'Czech Republic'!G$6+Denmark!G$10+France!G$16+Germany!G$11+Italy!G$11+Switzerland!G$10+Poland!G$8</f>
        <v>140206.59</v>
      </c>
      <c r="H17" s="90">
        <f>Austria!H$12+'Czech Republic'!H$6+Denmark!H$10+France!H$16+Germany!H$11+Italy!H$11+Switzerland!H$10+Poland!H$8</f>
        <v>83461.31</v>
      </c>
      <c r="I17" s="90">
        <f>Austria!I$12+'Czech Republic'!I$6+Denmark!I$10+France!I$16+Germany!I$11+Italy!I$11+Switzerland!I$10+Poland!I$8</f>
        <v>105830.43</v>
      </c>
      <c r="J17" s="90">
        <f>Austria!J$12+'Czech Republic'!J$6+Denmark!J$10+France!J$16+Germany!J$11+Italy!J$11+Switzerland!J$10+Poland!J$8</f>
        <v>84615</v>
      </c>
      <c r="K17" s="90">
        <f>Austria!K$12+'Czech Republic'!K$6+Denmark!K$10+France!K$16+Germany!K$11+Italy!K$11+Switzerland!K$10+Poland!K$8</f>
        <v>88715</v>
      </c>
      <c r="L17" s="90">
        <f>Austria!L$12+'Czech Republic'!L$6+Denmark!L$10+France!L$16+Germany!L$11+Italy!L$11+Switzerland!L$10+Poland!L$8</f>
        <v>45416</v>
      </c>
      <c r="M17" s="90">
        <f>Austria!M$12+'Czech Republic'!M$6+Denmark!M$10+France!M$16+Germany!M$11+Italy!M$11+Switzerland!M$10+Poland!M$8</f>
        <v>87074.06</v>
      </c>
      <c r="N17" s="92">
        <f>Austria!N$12+'Czech Republic'!N$6+Denmark!N$10+Germany!N$11+Italy!N$11+Switzerland!N$10+Poland!N$8</f>
        <v>64068</v>
      </c>
      <c r="O17" s="1"/>
    </row>
    <row r="18" spans="1:15" ht="12.75">
      <c r="A18" s="53" t="s">
        <v>27</v>
      </c>
      <c r="B18" s="60">
        <f t="shared" si="0"/>
        <v>-0.6165549766665837</v>
      </c>
      <c r="C18" s="101">
        <f>E18-'[1]EU - variety'!E18</f>
        <v>-12294.062999999995</v>
      </c>
      <c r="D18" s="90">
        <f>F18-'[1]EU - variety'!F18</f>
        <v>-39999.100000000006</v>
      </c>
      <c r="E18" s="56">
        <f>Austria!E$13+Belgium!E$7+'Czech Republic'!E$7+Denmark!E$12+France!E$18+Germany!E$13+Italy!E$12+Switzerland!E$11+Netherlands!E$5+UK!E$7+Poland!E$9</f>
        <v>42231.937000000005</v>
      </c>
      <c r="F18" s="90">
        <f>Austria!F$13+Belgium!F$7+'Czech Republic'!F$7+Denmark!F$12+France!F$18+Germany!F$13+Italy!F$12+Switzerland!F$11+Netherlands!F$5+UK!F$7+Poland!F$9</f>
        <v>110138.18</v>
      </c>
      <c r="G18" s="90">
        <f>Austria!G$13+Belgium!G$7+'Czech Republic'!G$7+Denmark!G$12+France!G$18+Germany!G$13+Italy!G$12+Switzerland!G$11+Netherlands!G$5+UK!G$7+Poland!G$9</f>
        <v>131567.1</v>
      </c>
      <c r="H18" s="90">
        <f>Austria!H$13+Belgium!H$7+'Czech Republic'!H$7+Denmark!H$12+France!H$18+Germany!H$13+Italy!H$12+Switzerland!H$11+Netherlands!H$5+UK!H$7+Poland!H$9</f>
        <v>136033.47</v>
      </c>
      <c r="I18" s="90">
        <f>Austria!I$13+Belgium!I$7+'Czech Republic'!I$7+Denmark!I$12+France!I$18+Germany!I$13+Italy!I$12+Switzerland!I$11+Netherlands!I$5+UK!I$7+Poland!I$9</f>
        <v>120665.58</v>
      </c>
      <c r="J18" s="90">
        <f>Austria!J$13+Belgium!J$7+'Czech Republic'!J$7+Denmark!J$13+France!J$18+Germany!J$13+Italy!J$12+Switzerland!J$11+Netherlands!J$5+UK!J$7+Poland!J$9</f>
        <v>97895</v>
      </c>
      <c r="K18" s="90">
        <f>Austria!K$13+Belgium!K$7+'Czech Republic'!K$7+Denmark!K$13+France!K$18+Germany!K$13+Italy!K$12+Switzerland!K$11+Netherlands!K$5+UK!K$7+Poland!K$9</f>
        <v>143143</v>
      </c>
      <c r="L18" s="90">
        <f>Austria!L$13+Belgium!L$7+'Czech Republic'!L$7+Denmark!L$13+France!L$18+Germany!L$13+Italy!L$12+Switzerland!L$11+Netherlands!L$5+UK!L$7+Poland!L$9</f>
        <v>96459</v>
      </c>
      <c r="M18" s="90">
        <f>Austria!M$13+Belgium!M$7+'Czech Republic'!M$7+Denmark!M$12+France!M$18+Germany!M$13+Italy!M$12+Switzerland!M$11+Netherlands!M$5+UK!M$7+Poland!M$9</f>
        <v>172572.89</v>
      </c>
      <c r="N18" s="92">
        <f>Austria!N$13+Belgium!N$7+'Czech Republic'!N$7+Denmark!N$12+Germany!N$13+Italy!N$12+Switzerland!N$11+Netherlands!N$5+UK!N$7+Poland!N$9</f>
        <v>183749</v>
      </c>
      <c r="O18" s="1"/>
    </row>
    <row r="19" spans="1:14" ht="12.75">
      <c r="A19" s="53" t="s">
        <v>26</v>
      </c>
      <c r="B19" s="60">
        <f t="shared" si="0"/>
        <v>-0.8058942136359374</v>
      </c>
      <c r="C19" s="101">
        <f>E19-'[1]EU - variety'!E19</f>
        <v>-6868</v>
      </c>
      <c r="D19" s="90">
        <f>F19-'[1]EU - variety'!F19</f>
        <v>-14906</v>
      </c>
      <c r="E19" s="56">
        <f>Austria!E$14+Belgium!E$8+Denmark!E$13+Germany!E$14+UK!E$8</f>
        <v>8279</v>
      </c>
      <c r="F19" s="90">
        <f>Austria!F$14+Belgium!F$8+Denmark!F$13+Germany!F$14+UK!F$8</f>
        <v>42652</v>
      </c>
      <c r="G19" s="90">
        <f>Austria!G$14+Belgium!G$8+Denmark!G$13+Germany!G$14+UK!G$8</f>
        <v>45672.28</v>
      </c>
      <c r="H19" s="90">
        <f>Austria!H$14+Belgium!H$8+Denmark!H$13+Germany!H$14+UK!H$8</f>
        <v>54770.08</v>
      </c>
      <c r="I19" s="90">
        <f>Austria!I$14+Belgium!I$8+Denmark!I$13+Germany!I$14+UK!I$8</f>
        <v>34404.84</v>
      </c>
      <c r="J19" s="90">
        <f>Austria!J$14+Belgium!J$8+Denmark!J$14+Germany!J$14+UK!J$8</f>
        <v>42407</v>
      </c>
      <c r="K19" s="90">
        <f>Austria!K$14+Belgium!K$8+Denmark!K$14+Germany!K$14+UK!K$8</f>
        <v>50737</v>
      </c>
      <c r="L19" s="90">
        <f>Austria!L$14+Belgium!L$8+Denmark!L$14+Germany!L$14+UK!L$8</f>
        <v>32530</v>
      </c>
      <c r="M19" s="90">
        <f>Austria!M$14+Belgium!M$8+Denmark!M$13+Germany!M$14+UK!M$8</f>
        <v>49181</v>
      </c>
      <c r="N19" s="92">
        <f>Austria!N$14+Belgium!N$8+Denmark!N$13+Germany!N$14+UK!N$8</f>
        <v>48534</v>
      </c>
    </row>
    <row r="20" spans="1:17" ht="12.75">
      <c r="A20" s="53" t="s">
        <v>50</v>
      </c>
      <c r="B20" s="60"/>
      <c r="C20" s="101">
        <f>E20-'[1]EU - variety'!E20</f>
        <v>0</v>
      </c>
      <c r="D20" s="90">
        <f>F20-'[1]EU - variety'!F20</f>
        <v>0</v>
      </c>
      <c r="E20" s="56">
        <f>Italy!E$13</f>
        <v>0</v>
      </c>
      <c r="F20" s="90">
        <f>Italy!F$13</f>
        <v>0</v>
      </c>
      <c r="G20" s="90">
        <f>Italy!G$13</f>
        <v>0</v>
      </c>
      <c r="H20" s="90">
        <f>Italy!H$13</f>
        <v>5</v>
      </c>
      <c r="I20" s="90">
        <f>Italy!I$13</f>
        <v>0</v>
      </c>
      <c r="J20" s="90">
        <f>Italy!J$13</f>
        <v>0</v>
      </c>
      <c r="K20" s="90">
        <f>Italy!K$13</f>
        <v>0</v>
      </c>
      <c r="L20" s="90">
        <f>Italy!L$13</f>
        <v>0</v>
      </c>
      <c r="M20" s="90">
        <f>Italy!M$13</f>
        <v>2</v>
      </c>
      <c r="N20" s="92">
        <f>Italy!N$13</f>
        <v>0</v>
      </c>
      <c r="Q20" s="16"/>
    </row>
    <row r="21" spans="1:14" ht="12.75">
      <c r="A21" s="53" t="s">
        <v>34</v>
      </c>
      <c r="B21" s="60"/>
      <c r="C21" s="101">
        <f>E21-'[1]EU - variety'!E21</f>
        <v>0</v>
      </c>
      <c r="D21" s="90">
        <f>F21-'[1]EU - variety'!F21</f>
        <v>0</v>
      </c>
      <c r="E21" s="56">
        <f>Poland!E$11</f>
        <v>0</v>
      </c>
      <c r="F21" s="90">
        <f>Poland!F$11</f>
        <v>0</v>
      </c>
      <c r="G21" s="90">
        <f>Poland!G$11</f>
        <v>0</v>
      </c>
      <c r="H21" s="90">
        <f>Poland!H$11</f>
        <v>0</v>
      </c>
      <c r="I21" s="90">
        <f>Poland!I$11</f>
        <v>0</v>
      </c>
      <c r="J21" s="90">
        <f>Poland!J$11</f>
        <v>0</v>
      </c>
      <c r="K21" s="90">
        <f>Poland!K$11</f>
        <v>0</v>
      </c>
      <c r="L21" s="90">
        <f>Poland!L$11</f>
        <v>3000</v>
      </c>
      <c r="M21" s="90">
        <f>Poland!M$11</f>
        <v>10000</v>
      </c>
      <c r="N21" s="92">
        <f>Poland!N$11</f>
        <v>3000</v>
      </c>
    </row>
    <row r="22" spans="1:14" ht="12.75">
      <c r="A22" s="53" t="s">
        <v>18</v>
      </c>
      <c r="B22" s="60">
        <f t="shared" si="0"/>
        <v>-0.8353179495275413</v>
      </c>
      <c r="C22" s="101">
        <f>E22-'[1]EU - variety'!E22</f>
        <v>-1695.6</v>
      </c>
      <c r="D22" s="90">
        <f>F22-'[1]EU - variety'!F22</f>
        <v>-2697.9000000000005</v>
      </c>
      <c r="E22" s="56">
        <f>Italy!E$14</f>
        <v>928.4</v>
      </c>
      <c r="F22" s="90">
        <f>Italy!F$14</f>
        <v>5637.53</v>
      </c>
      <c r="G22" s="90">
        <f>Italy!G$14</f>
        <v>6947.24</v>
      </c>
      <c r="H22" s="90">
        <f>Italy!H$14</f>
        <v>9321</v>
      </c>
      <c r="I22" s="90">
        <f>Italy!I$14</f>
        <v>7561</v>
      </c>
      <c r="J22" s="90">
        <f>Italy!J$14</f>
        <v>6315</v>
      </c>
      <c r="K22" s="90">
        <f>Italy!K$14</f>
        <v>4126</v>
      </c>
      <c r="L22" s="90">
        <f>Italy!L$14</f>
        <v>8511</v>
      </c>
      <c r="M22" s="90">
        <f>Italy!M$14</f>
        <v>5431.25</v>
      </c>
      <c r="N22" s="92">
        <f>Italy!N$14</f>
        <v>14997.7</v>
      </c>
    </row>
    <row r="23" spans="1:14" ht="12.75">
      <c r="A23" s="53" t="s">
        <v>13</v>
      </c>
      <c r="B23" s="60">
        <f t="shared" si="0"/>
        <v>-0.6892439039916052</v>
      </c>
      <c r="C23" s="101">
        <f>E23-'[1]EU - variety'!E23</f>
        <v>-1315</v>
      </c>
      <c r="D23" s="90">
        <f>F23-'[1]EU - variety'!F23</f>
        <v>-2157.05</v>
      </c>
      <c r="E23" s="56">
        <f>Austria!E$16+Denmark!E$15+Germany!E$15+Switzerland!E$14+Poland!E$12</f>
        <v>1611</v>
      </c>
      <c r="F23" s="90">
        <f>Austria!F$16+Denmark!F$15+Germany!F$15+Switzerland!F$14+Poland!F$12</f>
        <v>5184.13</v>
      </c>
      <c r="G23" s="90">
        <f>Austria!G$16+Denmark!G$15+Germany!G$15+Switzerland!G$14+Poland!G$12</f>
        <v>6856.82</v>
      </c>
      <c r="H23" s="90">
        <f>Austria!H$16+Denmark!H$15+Germany!H$15+Switzerland!H$14+Poland!H$12</f>
        <v>6715.77</v>
      </c>
      <c r="I23" s="90">
        <f>Austria!I$16+Denmark!I$15+Germany!I$15+Switzerland!I$14+Poland!I$12</f>
        <v>4710.29</v>
      </c>
      <c r="J23" s="90">
        <f>Austria!J$16+Denmark!J$16+Germany!J$15+Switzerland!J$14</f>
        <v>3646</v>
      </c>
      <c r="K23" s="90">
        <f>Austria!K$16+Denmark!K$16+Germany!K$15+Switzerland!K$14</f>
        <v>3716</v>
      </c>
      <c r="L23" s="90">
        <f>Austria!L$16+Denmark!L$16+Germany!L$15+Switzerland!L$14</f>
        <v>3776</v>
      </c>
      <c r="M23" s="90">
        <f>Austria!M$16+Denmark!M$15+Germany!M$15+Switzerland!M$14</f>
        <v>3518</v>
      </c>
      <c r="N23" s="92">
        <f>Austria!N$16+Denmark!N$15+Germany!N$15+Switzerland!N$14</f>
        <v>2682</v>
      </c>
    </row>
    <row r="24" spans="1:14" ht="12.75">
      <c r="A24" s="53" t="s">
        <v>19</v>
      </c>
      <c r="B24" s="60">
        <f t="shared" si="0"/>
        <v>-0.4719777139421986</v>
      </c>
      <c r="C24" s="101">
        <f>E24-'[1]EU - variety'!E24</f>
        <v>-22476.389999999996</v>
      </c>
      <c r="D24" s="90">
        <f>F24-'[1]EU - variety'!F24</f>
        <v>-26056.079791352568</v>
      </c>
      <c r="E24" s="56">
        <f>'Czech Republic'!E$8+France!E$19+Italy!E$15+Spain!E$6+Poland!E$13</f>
        <v>27360.610000000004</v>
      </c>
      <c r="F24" s="90">
        <f>'Czech Republic'!F$8+France!F$19+Italy!F$15+Spain!F$6+Poland!F$13</f>
        <v>51817.15</v>
      </c>
      <c r="G24" s="90">
        <f>'Czech Republic'!G$8+France!G$19+Italy!G$15+Spain!G$6+Poland!G$13</f>
        <v>47090.886568167756</v>
      </c>
      <c r="H24" s="90">
        <f>'Czech Republic'!H$8+France!H$19+Italy!H$15+Spain!H$6+Poland!H$13</f>
        <v>38058.05413361207</v>
      </c>
      <c r="I24" s="90">
        <f>'Czech Republic'!I$8+France!I$19+Italy!I$15+Spain!I$6+Poland!I$13</f>
        <v>43328.86261446438</v>
      </c>
      <c r="J24" s="90">
        <f>'Czech Republic'!J$8+France!J$19+Italy!J$15+Spain!J$6+Poland!J$12+Poland!J$13</f>
        <v>23859.628347781807</v>
      </c>
      <c r="K24" s="90">
        <f>'Czech Republic'!K$8+France!K$19+Italy!K$15+Spain!K$6+Poland!K$12+Poland!K$13</f>
        <v>26662.076300964258</v>
      </c>
      <c r="L24" s="90">
        <f>'Czech Republic'!L$8+France!L$19+Italy!L$15+Spain!L$6+Poland!L$12+Poland!L$13</f>
        <v>25604.220679528953</v>
      </c>
      <c r="M24" s="90">
        <f>'Czech Republic'!M$8+France!M$19+Italy!M$15+Spain!M$6+Poland!M$12+Poland!M$13</f>
        <v>38992.66</v>
      </c>
      <c r="N24" s="92">
        <f>'Czech Republic'!N$8+Italy!N$15+Spain!N$6+Poland!N$12+Poland!N$13</f>
        <v>31256.5</v>
      </c>
    </row>
    <row r="25" spans="1:14" ht="12.75">
      <c r="A25" s="53" t="s">
        <v>135</v>
      </c>
      <c r="B25" s="60">
        <f t="shared" si="0"/>
        <v>-0.44214507632041067</v>
      </c>
      <c r="C25" s="101">
        <f>E25-'[1]EU - variety'!E25</f>
        <v>-7905</v>
      </c>
      <c r="D25" s="90">
        <f>F25-'[1]EU - variety'!F25</f>
        <v>-7239</v>
      </c>
      <c r="E25" s="56">
        <f>Germany!E$16+Austria!E$17</f>
        <v>20649</v>
      </c>
      <c r="F25" s="90">
        <f>Germany!F$16</f>
        <v>37015</v>
      </c>
      <c r="G25" s="90">
        <f>Germany!G$16</f>
        <v>22485</v>
      </c>
      <c r="H25" s="90">
        <f>Germany!H$16</f>
        <v>16280</v>
      </c>
      <c r="I25" s="90">
        <f>Germany!I$16</f>
        <v>10256</v>
      </c>
      <c r="J25" s="90">
        <f>Germany!J$16</f>
        <v>12669</v>
      </c>
      <c r="K25" s="90">
        <f>Germany!K$16</f>
        <v>9733</v>
      </c>
      <c r="L25" s="90">
        <f>Germany!L$16</f>
        <v>5164</v>
      </c>
      <c r="M25" s="90">
        <f>Germany!M$16</f>
        <v>8667</v>
      </c>
      <c r="N25" s="92">
        <f>Germany!N$16</f>
        <v>6244</v>
      </c>
    </row>
    <row r="26" spans="1:100" s="4" customFormat="1" ht="13.5" thickBot="1">
      <c r="A26" s="53" t="s">
        <v>124</v>
      </c>
      <c r="B26" s="60">
        <f t="shared" si="0"/>
        <v>-0.8878945145955076</v>
      </c>
      <c r="C26" s="101">
        <f>E26-'[1]EU - variety'!E26</f>
        <v>-1518</v>
      </c>
      <c r="D26" s="90">
        <f>F26-'[1]EU - variety'!F26</f>
        <v>-4174.099999999999</v>
      </c>
      <c r="E26" s="56">
        <f>France!E$21+France!E$20+Italy!E$16+Switzerland!E$12</f>
        <v>823</v>
      </c>
      <c r="F26" s="90">
        <f>France!F$21+France!F$20+Italy!F$16+Switzerland!F$12</f>
        <v>7341.3</v>
      </c>
      <c r="G26" s="90">
        <f>France!G$21+France!G$20+Italy!G$16+Switzerland!G$12</f>
        <v>7526</v>
      </c>
      <c r="H26" s="90">
        <f>France!H$21+France!H$20+Italy!H$16+Switzerland!H$12</f>
        <v>6231</v>
      </c>
      <c r="I26" s="90">
        <f>France!I$21+France!I$20+Italy!I$16+Switzerland!I$12</f>
        <v>10256</v>
      </c>
      <c r="J26" s="90">
        <f>France!J$21+France!J$20+Italy!J$16+Switzerland!J$12</f>
        <v>1429</v>
      </c>
      <c r="K26" s="90">
        <f>France!K$21+France!K$20+Italy!K$16+Switzerland!K$12</f>
        <v>6628</v>
      </c>
      <c r="L26" s="90">
        <f>France!L$21+France!L$20+Italy!L$16+Switzerland!L$12</f>
        <v>5488</v>
      </c>
      <c r="M26" s="90">
        <f>France!M$20+France!M$21+Italy!M$16+Switzerland!M$12</f>
        <v>8545</v>
      </c>
      <c r="N26" s="92">
        <f>Italy!N$16+Switzerland!N$12</f>
        <v>199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4" s="16" customFormat="1" ht="12.75">
      <c r="A27" s="53" t="s">
        <v>90</v>
      </c>
      <c r="B27" s="60">
        <f t="shared" si="0"/>
        <v>-0.4004780876494024</v>
      </c>
      <c r="C27" s="101">
        <f>E27-'[1]EU - variety'!E27</f>
        <v>-20086</v>
      </c>
      <c r="D27" s="90">
        <f>F27-'[1]EU - variety'!F27</f>
        <v>-45624</v>
      </c>
      <c r="E27" s="56">
        <f>'Czech Republic'!E$9+Germany!E$17+Poland!E$14</f>
        <v>15048</v>
      </c>
      <c r="F27" s="90">
        <f>'Czech Republic'!F$9+Germany!F$17+Poland!F$14</f>
        <v>25100</v>
      </c>
      <c r="G27" s="90">
        <f>'Czech Republic'!G$9+Germany!G$17+Poland!G$14</f>
        <v>30569</v>
      </c>
      <c r="H27" s="90">
        <f>'Czech Republic'!H$9+Germany!H$17+Poland!H$14</f>
        <v>35216</v>
      </c>
      <c r="I27" s="90">
        <f>'Czech Republic'!I$9+Germany!I$17+Poland!I$14</f>
        <v>40059</v>
      </c>
      <c r="J27" s="90">
        <f>'Czech Republic'!J$9+Germany!J$17+Poland!J$14</f>
        <v>20238</v>
      </c>
      <c r="K27" s="90">
        <f>'Czech Republic'!K$9+Germany!K$17+Poland!K$14</f>
        <v>20348</v>
      </c>
      <c r="L27" s="90">
        <f>'Czech Republic'!L$9+Germany!L$17+Poland!L$14</f>
        <v>5019</v>
      </c>
      <c r="M27" s="90">
        <f>'Czech Republic'!M$9+Germany!M$17+Poland!M$14</f>
        <v>5051</v>
      </c>
      <c r="N27" s="92">
        <f>'Czech Republic'!N$9+Germany!N$17+Poland!N$14</f>
        <v>5051</v>
      </c>
    </row>
    <row r="28" spans="1:14" ht="12.75">
      <c r="A28" s="53" t="s">
        <v>21</v>
      </c>
      <c r="B28" s="60">
        <f t="shared" si="0"/>
        <v>-0.9177733917639581</v>
      </c>
      <c r="C28" s="101">
        <f>E28-'[1]EU - variety'!E28</f>
        <v>-425.2</v>
      </c>
      <c r="D28" s="90">
        <f>F28-'[1]EU - variety'!F28</f>
        <v>-1421.0999999999995</v>
      </c>
      <c r="E28" s="56">
        <f>Italy!E$17</f>
        <v>245.8</v>
      </c>
      <c r="F28" s="90">
        <f>Italy!F$17</f>
        <v>2989.3</v>
      </c>
      <c r="G28" s="90">
        <f>Italy!G$17</f>
        <v>4465.6</v>
      </c>
      <c r="H28" s="90">
        <f>Italy!H$17</f>
        <v>3756</v>
      </c>
      <c r="I28" s="90">
        <f>Italy!I$17</f>
        <v>2792</v>
      </c>
      <c r="J28" s="90">
        <f>Italy!J$17</f>
        <v>42</v>
      </c>
      <c r="K28" s="90">
        <f>Italy!K$17</f>
        <v>3072</v>
      </c>
      <c r="L28" s="90">
        <f>Italy!L$17</f>
        <v>3639</v>
      </c>
      <c r="M28" s="90">
        <f>Italy!M$17</f>
        <v>1223.69</v>
      </c>
      <c r="N28" s="92">
        <f>Italy!N$17</f>
        <v>2334</v>
      </c>
    </row>
    <row r="29" spans="1:14" ht="12.75">
      <c r="A29" s="53" t="s">
        <v>35</v>
      </c>
      <c r="B29" s="60"/>
      <c r="C29" s="101">
        <f>E29-'[1]EU - variety'!E29</f>
        <v>0</v>
      </c>
      <c r="D29" s="90">
        <f>F29-'[1]EU - variety'!F29</f>
        <v>0</v>
      </c>
      <c r="E29" s="56">
        <f>'Czech Republic'!E$10+UK!E$9+Poland!E$15+Denmark!E$16</f>
        <v>0</v>
      </c>
      <c r="F29" s="90">
        <f>'Czech Republic'!F$10+UK!F$9+Poland!F$15+Denmark!F$16</f>
        <v>0</v>
      </c>
      <c r="G29" s="90">
        <f>'Czech Republic'!G$10+UK!G$9+Poland!G$15+Denmark!G$16</f>
        <v>0</v>
      </c>
      <c r="H29" s="90">
        <f>'Czech Republic'!H$10+UK!H$9+Poland!H$15+Denmark!H$16</f>
        <v>0</v>
      </c>
      <c r="I29" s="90">
        <f>'Czech Republic'!I$10+UK!I$9+Poland!I$15+Denmark!I$16</f>
        <v>0</v>
      </c>
      <c r="J29" s="90">
        <f>'Czech Republic'!J$10+UK!J$9+Poland!J$15</f>
        <v>0</v>
      </c>
      <c r="K29" s="90">
        <f>'Czech Republic'!K$10+UK!K$9+Poland!K$15</f>
        <v>0</v>
      </c>
      <c r="L29" s="90">
        <f>'Czech Republic'!L$10+UK!L$9+Poland!L$15</f>
        <v>0</v>
      </c>
      <c r="M29" s="90">
        <f>'Czech Republic'!M$10+UK!M$9+Poland!M$15</f>
        <v>0</v>
      </c>
      <c r="N29" s="92">
        <f>'Czech Republic'!N$10+UK!N$9+Poland!N$15</f>
        <v>0</v>
      </c>
    </row>
    <row r="30" spans="1:14" ht="12.75">
      <c r="A30" s="53" t="s">
        <v>125</v>
      </c>
      <c r="B30" s="60">
        <f t="shared" si="0"/>
        <v>-0.678267115902965</v>
      </c>
      <c r="C30" s="101">
        <f>E30-'[1]EU - variety'!E30</f>
        <v>-16408.71</v>
      </c>
      <c r="D30" s="90">
        <f>F30-'[1]EU - variety'!F30</f>
        <v>-13718</v>
      </c>
      <c r="E30" s="56">
        <f>Denmark!E$17+France!E$2+France!E$24+France!E$17+France!E$15+France!E$13+Switzerland!E$17+UK!E$10+Germany!E$19+Netherlands!E$6</f>
        <v>11936.29</v>
      </c>
      <c r="F30" s="90">
        <f>Denmark!F$17+France!F$2+France!F$24+France!F$17+France!F$15+France!F$13+Switzerland!F$17+UK!F$10+Germany!F$19+Netherlands!F$6</f>
        <v>37100</v>
      </c>
      <c r="G30" s="90">
        <f>Denmark!G$17+France!G$2+France!G$24+France!G$17+France!G$15+France!G$13+Switzerland!G$17+UK!G$10+Germany!G$19+Netherlands!G$6</f>
        <v>29956</v>
      </c>
      <c r="H30" s="90">
        <f>Denmark!H$17+France!H$2+France!H$24+France!H$17+France!H$15+France!H$13+Switzerland!H$17+UK!H$10+Germany!H$19+Netherlands!H$6</f>
        <v>32153</v>
      </c>
      <c r="I30" s="90">
        <f>Denmark!I$17+France!I$2+France!I$24+France!I$17+France!I$15+France!I$13+Switzerland!I$17+UK!I$10+Germany!I$19+Netherlands!I$6</f>
        <v>29140</v>
      </c>
      <c r="J30" s="90">
        <f>Denmark!J$17+France!J$2+France!J$24+France!J$17+France!J$15+France!J$13+Switzerland!J$17+UK!J$10+Germany!J$19+Netherlands!J$6</f>
        <v>8802</v>
      </c>
      <c r="K30" s="90">
        <f>Denmark!K$17+France!K$2+France!K$24+France!K$17+France!K$15+France!K$13+Switzerland!K$17+UK!K$10+Germany!K$19+Netherlands!K$6</f>
        <v>14939</v>
      </c>
      <c r="L30" s="90">
        <f>Denmark!L$17+France!L$2+France!L$24+France!L$17+France!L$15+France!L$13+Switzerland!L$17+UK!L$10+Germany!L$19+Netherlands!L$6</f>
        <v>7152</v>
      </c>
      <c r="M30" s="90">
        <f>Denmark!M$17+France!M$2+France!M$24+France!M$17+France!M$15+France!M$13+Switzerland!M$17+UK!M$10+Germany!M$19+Netherlands!M$6</f>
        <v>10728</v>
      </c>
      <c r="N30" s="92">
        <f>Denmark!N$17+France!N$2+France!N$24+France!N$17+France!N$15+France!N$13+Switzerland!N$17+UK!N$10+Germany!N$19+Netherlands!$G6</f>
        <v>12898</v>
      </c>
    </row>
    <row r="31" spans="1:16" ht="13.5" thickBot="1">
      <c r="A31" s="54" t="s">
        <v>6</v>
      </c>
      <c r="B31" s="61">
        <f t="shared" si="0"/>
        <v>-0.6391870553083142</v>
      </c>
      <c r="C31" s="102">
        <f>E31-'[1]EU - variety'!E31</f>
        <v>-42921.931</v>
      </c>
      <c r="D31" s="91">
        <f>F31-'[1]EU - variety'!F31</f>
        <v>-105615.43</v>
      </c>
      <c r="E31" s="57">
        <f>Austria!E$2+Austria!E$6+Austria!E$15+Austria!E$18+Austria!E$19+Austria!E$20+Belgium!E$9+'Czech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39619.069</v>
      </c>
      <c r="F31" s="91">
        <f>Austria!F$2+Austria!F$6+Austria!F$15+Austria!F$18+Austria!F$19+Austria!F$20+Belgium!F$9+'Czech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109805.01000000001</v>
      </c>
      <c r="G31" s="91">
        <f>Austria!G$2+Austria!G$6+Austria!G$15+Austria!G$18+Austria!G$19+Austria!G$20+Belgium!G$9+'Czech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119881.34</v>
      </c>
      <c r="H31" s="91">
        <f>Austria!H$2+Austria!H$6+Austria!H$15+Austria!H$18+Austria!H$19+Austria!H$20+Belgium!H$9+'Czech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90693.925</v>
      </c>
      <c r="I31" s="91">
        <f>Austria!I$2+Austria!I$6+Austria!I$15+Austria!I$18+Austria!I$19+Austria!I$20+Belgium!I$9+'Czech Republic'!I$11+Denmark!I$3+Denmark!I$14+Denmark!I$11+Denmark!I$18+Germany!I$12+Germany!I$18+Germany!I$20+Italy!I$18+Spain!I$7+Switzerland!I$7+Switzerland!I$13+Switzerland!I$15+Switzerland!I$16+Switzerland!I$18+Netherlands!I$7+UK!I$11+France!I$3+France!I$7+France!I$22+France!I$23+France!I$25+Poland!I$10+Poland!I$16</f>
        <v>105007.78</v>
      </c>
      <c r="J31" s="91">
        <f>Austria!J$2+Austria!J$6+Austria!J$15+Austria!J$18+Austria!J$19+Austria!J$20+Belgium!J$9+'Czech Republic'!J$11+Denmark!J$3+Denmark!J$15+Denmark!J$12+Denmark!J$18+Germany!J$12+Germany!J$18+Germany!J$20+Italy!J$18+Poland!J$10+Spain!J$7+Switzerland!J$7+Switzerland!J$13+Switzerland!J$15+Switzerland!J$16+Switzerland!J$18+Netherlands!J$7+UK!J$11+France!J$3+France!J$7+France!J$22+France!J$23+France!J$25+Poland!J$16</f>
        <v>70289</v>
      </c>
      <c r="K31" s="91">
        <f>Austria!K$2+Austria!K$6+Austria!K$15+Austria!K$18+Austria!K$19+Austria!K$20+Belgium!K$9+'Czech Republic'!K$11+Denmark!K$3+Denmark!K$15+Denmark!K$12+Denmark!K$18+Germany!K$12+Germany!K$18+Germany!K$20+Italy!K$18+Poland!K$10+Spain!K$7+Switzerland!K$7+Switzerland!K$13+Switzerland!K$15+Switzerland!K$16+Switzerland!K$18+Netherlands!K$7+UK!K$11+France!K$3+France!K$7+France!K$22+France!K$23+France!K$25+Poland!K$16</f>
        <v>91225</v>
      </c>
      <c r="L31" s="91">
        <f>Austria!L$2+Austria!L$6+Austria!L$15+Austria!L$18+Austria!L$19+Austria!L$20+Belgium!L$9+'Czech Republic'!L$11+Denmark!L$3+Denmark!L$15+Denmark!L$12+Denmark!L$18+Germany!L$12+Germany!L$18+Germany!L$20+Italy!L$18+Spain!L$7+Switzerland!L$7+Switzerland!L$13+Switzerland!L$15+Switzerland!L$16+Switzerland!L$18+Netherlands!L$7+UK!L$11+France!L$3+France!L$7+France!L$22+France!L$23+France!L$25+Poland!L$16+Poland!L$10</f>
        <v>56577.5</v>
      </c>
      <c r="M31" s="91">
        <f>Austria!M$2+Austria!M$15+Austria!M$18+Austria!M$19+Austria!M$20+Belgium!M$9+'Czech Republic'!M$11+Denmark!M$3+Denmark!M$14+Denmark!M$16+Denmark!M$18+Germany!M$12+Germany!M$18+Germany!M$20+Italy!M$18+Spain!M$7+Switzerland!M$7+Switzerland!M$13+Switzerland!M$15+Switzerland!M$16+Switzerland!M$18+Netherlands!M$7+UK!M$11+France!M$3+France!M$22+France!M$25+Poland!M$16+Poland!M$10</f>
        <v>52417</v>
      </c>
      <c r="N31" s="93">
        <f>Austria!N$2+Austria!N$15+Austria!N$18+Austria!N$19+Austria!N$20+Belgium!N$9+'Czech Republic'!N$11+Denmark!N$3+Denmark!N$14+Denmark!N$16+Denmark!N$18+Germany!N$12+Germany!N$18+Germany!N$20+Italy!N$18+Spain!N$7+Switzerland!N$7+Switzerland!N$13+Switzerland!N$15+Switzerland!N$16+Switzerland!N$18+Netherlands!N$7+UK!N$11+Poland!N$16+Poland!N$10</f>
        <v>34980</v>
      </c>
      <c r="P31" s="3"/>
    </row>
    <row r="32" spans="1:14" ht="13.5" thickBot="1">
      <c r="A32" s="55" t="s">
        <v>93</v>
      </c>
      <c r="B32" s="105">
        <f>(E32-F32)/F32</f>
        <v>-0.4782456804958328</v>
      </c>
      <c r="C32" s="65">
        <f>E32-'[1]EU - variety'!E32</f>
        <v>-468518.4019999999</v>
      </c>
      <c r="D32" s="42">
        <f>F32-'[1]EU - variety'!F32</f>
        <v>-720220.2588960216</v>
      </c>
      <c r="E32" s="137">
        <f>SUM(E2:E31)</f>
        <v>702960.5980000001</v>
      </c>
      <c r="F32" s="123">
        <f>SUM(F2:F31)</f>
        <v>1347301.9229970854</v>
      </c>
      <c r="G32" s="123">
        <f>SUM(G2:G31)</f>
        <v>1398585.0178398713</v>
      </c>
      <c r="H32" s="123">
        <f>SUM(H2:H31)</f>
        <v>1315934.5131682649</v>
      </c>
      <c r="I32" s="123">
        <f aca="true" t="shared" si="1" ref="I32:N32">SUM(I2:I31)</f>
        <v>1296878.735538892</v>
      </c>
      <c r="J32" s="123">
        <f t="shared" si="1"/>
        <v>837817.7719604824</v>
      </c>
      <c r="K32" s="123">
        <f t="shared" si="1"/>
        <v>1178389.7459239243</v>
      </c>
      <c r="L32" s="123">
        <f t="shared" si="1"/>
        <v>920219.3137191827</v>
      </c>
      <c r="M32" s="123">
        <f t="shared" si="1"/>
        <v>1132128.32</v>
      </c>
      <c r="N32" s="128">
        <f t="shared" si="1"/>
        <v>954309.8999999999</v>
      </c>
    </row>
    <row r="33" ht="12.75">
      <c r="A33" s="68" t="s">
        <v>153</v>
      </c>
    </row>
    <row r="34" spans="2:14" ht="13.5" thickBot="1">
      <c r="B34" s="3"/>
      <c r="C34" s="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s="68" customFormat="1" ht="13.5" thickBot="1">
      <c r="A35" s="67" t="s">
        <v>92</v>
      </c>
      <c r="B35" s="32" t="s">
        <v>176</v>
      </c>
      <c r="C35" s="62" t="s">
        <v>175</v>
      </c>
      <c r="D35" s="107" t="s">
        <v>168</v>
      </c>
      <c r="E35" s="147">
        <v>43221</v>
      </c>
      <c r="F35" s="33">
        <v>42856</v>
      </c>
      <c r="G35" s="33">
        <v>42491</v>
      </c>
      <c r="H35" s="33">
        <v>42125</v>
      </c>
      <c r="I35" s="33">
        <v>41760</v>
      </c>
      <c r="J35" s="33">
        <v>41395</v>
      </c>
      <c r="K35" s="33">
        <v>41030</v>
      </c>
      <c r="L35" s="33">
        <v>40664</v>
      </c>
      <c r="M35" s="33">
        <v>40299</v>
      </c>
      <c r="N35" s="49">
        <v>39934</v>
      </c>
    </row>
    <row r="36" spans="1:14" s="68" customFormat="1" ht="12.75">
      <c r="A36" s="129" t="s">
        <v>104</v>
      </c>
      <c r="B36" s="130">
        <f aca="true" t="shared" si="2" ref="B36:B44">(E36-F36)/F36</f>
        <v>2.795707834656946</v>
      </c>
      <c r="C36" s="131">
        <f>E36-'[1]EU - variety'!E36</f>
        <v>-19576.769624504923</v>
      </c>
      <c r="D36" s="132">
        <f>F36-'[1]EU - variety'!F36</f>
        <v>-16732.792365849593</v>
      </c>
      <c r="E36" s="71">
        <f>Italy!E$23</f>
        <v>14445.025666480678</v>
      </c>
      <c r="F36" s="90">
        <f>Italy!F$23</f>
        <v>3805.6210582356935</v>
      </c>
      <c r="G36" s="132">
        <f>Italy!G$23</f>
        <v>4733.755303077311</v>
      </c>
      <c r="H36" s="132">
        <f>Italy!H$23</f>
        <v>764.8005141255638</v>
      </c>
      <c r="I36" s="132">
        <f>Italy!I$23</f>
        <v>1821.1655840767778</v>
      </c>
      <c r="J36" s="132">
        <f>Italy!J$23</f>
        <v>0</v>
      </c>
      <c r="K36" s="132">
        <f>Italy!K$23</f>
        <v>0</v>
      </c>
      <c r="L36" s="132">
        <f>Italy!L$23</f>
        <v>463</v>
      </c>
      <c r="M36" s="132">
        <f>Italy!M$23</f>
        <v>0</v>
      </c>
      <c r="N36" s="133">
        <f>Italy!N$23</f>
        <v>0</v>
      </c>
    </row>
    <row r="37" spans="1:14" s="68" customFormat="1" ht="12.75">
      <c r="A37" s="69" t="s">
        <v>38</v>
      </c>
      <c r="B37" s="70">
        <f t="shared" si="2"/>
        <v>0.03773584905660377</v>
      </c>
      <c r="C37" s="99">
        <f>E37-'[1]EU - variety'!E37</f>
        <v>-476</v>
      </c>
      <c r="D37" s="95">
        <f>F37-'[1]EU - variety'!F37</f>
        <v>-561.7821236553427</v>
      </c>
      <c r="E37" s="71">
        <f>Spain!E$12</f>
        <v>440</v>
      </c>
      <c r="F37" s="90">
        <f>Spain!F$12</f>
        <v>424</v>
      </c>
      <c r="G37" s="95">
        <f>Spain!G$12</f>
        <v>139.26667758805868</v>
      </c>
      <c r="H37" s="95">
        <f>Spain!H$12</f>
        <v>39.1702877457117</v>
      </c>
      <c r="I37" s="95">
        <f>Spain!I$12</f>
        <v>1110.6048561530492</v>
      </c>
      <c r="J37" s="95">
        <f>Spain!J$12</f>
        <v>0</v>
      </c>
      <c r="K37" s="95">
        <f>Spain!K$12</f>
        <v>1796.1608987079055</v>
      </c>
      <c r="L37" s="95">
        <f>Spain!L$12</f>
        <v>967.825424763514</v>
      </c>
      <c r="M37" s="95">
        <f>Spain!M$12</f>
        <v>522</v>
      </c>
      <c r="N37" s="97">
        <f>Spain!N$12</f>
        <v>284</v>
      </c>
    </row>
    <row r="38" spans="1:14" s="66" customFormat="1" ht="12.75">
      <c r="A38" s="69" t="s">
        <v>39</v>
      </c>
      <c r="B38" s="70">
        <f t="shared" si="2"/>
        <v>8.693251533742332</v>
      </c>
      <c r="C38" s="99">
        <f>E38-'[1]EU - variety'!E38</f>
        <v>-1766</v>
      </c>
      <c r="D38" s="95">
        <f>F38-'[1]EU - variety'!F38</f>
        <v>-1379.234650417612</v>
      </c>
      <c r="E38" s="71">
        <f>Spain!E$13</f>
        <v>1580</v>
      </c>
      <c r="F38" s="90">
        <f>Spain!F$13</f>
        <v>163</v>
      </c>
      <c r="G38" s="95">
        <f>Spain!G$13</f>
        <v>524.5225194403079</v>
      </c>
      <c r="H38" s="95">
        <f>Spain!H$13</f>
        <v>965.5811674641468</v>
      </c>
      <c r="I38" s="95">
        <f>Spain!I$13</f>
        <v>1389.8645323967746</v>
      </c>
      <c r="J38" s="95">
        <f>Spain!J$13</f>
        <v>251.56493920175487</v>
      </c>
      <c r="K38" s="95">
        <f>Spain!K$13</f>
        <v>1496.5775096917525</v>
      </c>
      <c r="L38" s="95">
        <f>Spain!L$13</f>
        <v>2776.1818778763163</v>
      </c>
      <c r="M38" s="95">
        <f>Spain!M$13</f>
        <v>2076</v>
      </c>
      <c r="N38" s="97">
        <f>Spain!N$13</f>
        <v>895</v>
      </c>
    </row>
    <row r="39" spans="1:14" s="66" customFormat="1" ht="12.75">
      <c r="A39" s="69" t="s">
        <v>7</v>
      </c>
      <c r="B39" s="70">
        <f t="shared" si="2"/>
        <v>-0.061708616787309094</v>
      </c>
      <c r="C39" s="99">
        <f>E39-'[1]EU - variety'!E39</f>
        <v>-75870.65644461571</v>
      </c>
      <c r="D39" s="95">
        <f>F39-'[1]EU - variety'!F39</f>
        <v>-79818.68592917695</v>
      </c>
      <c r="E39" s="71">
        <f>Belgium!E$15+Denmark!E$23+Italy!E$24+Poland!E$21+Spain!E$14+Switzerland!E$24+Netherlands!E$12+UK!E$16+'Czech Republic'!E$16+France!E$32</f>
        <v>101995.70440251086</v>
      </c>
      <c r="F39" s="90">
        <f>Belgium!F$15+Denmark!F$23+Italy!F$24+Poland!F$21+Spain!F$14+Switzerland!F$24+Netherlands!F$12+UK!F$16+'Czech Republic'!F$16+France!F$32</f>
        <v>108703.65669700559</v>
      </c>
      <c r="G39" s="95">
        <f>Belgium!G$15+Denmark!G$23+Italy!G$24+Poland!G$21+Spain!G$14+Switzerland!G$24+Netherlands!G$12+UK!G$16+'Czech Republic'!G$16+France!G$32</f>
        <v>147136.58780579173</v>
      </c>
      <c r="H39" s="95">
        <f>Belgium!H$15+Denmark!H$23+Italy!H$24+Poland!H$21+Spain!H$14+Switzerland!H$24+Netherlands!H$12+UK!H$16+'Czech Republic'!H$16+France!H$32</f>
        <v>103445.17170174654</v>
      </c>
      <c r="I39" s="95">
        <f>Belgium!I$15+Denmark!I$23+Italy!I$24+Poland!I$21+Spain!I$14+Switzerland!I$24+Netherlands!I$12+UK!I$16+'Czech Republic'!I$16+France!I$32</f>
        <v>97069.7129804491</v>
      </c>
      <c r="J39" s="95">
        <f>Belgium!J$15+Denmark!J$23+Italy!J$24+Poland!J$21+Spain!J$14+Switzerland!J$24+Netherlands!J$12+UK!J$16+'Czech Republic'!J$16+France!J$32</f>
        <v>49272.07937447476</v>
      </c>
      <c r="K39" s="95">
        <f>Belgium!K$15+Denmark!K$23+Italy!K$24+Poland!K$21+Spain!K$14+Switzerland!K$24+Netherlands!K$12+UK!K$16+'Czech Republic'!K$16+France!K$32</f>
        <v>127104.81858589934</v>
      </c>
      <c r="L39" s="95">
        <f>Belgium!L$15+Denmark!L$23+Italy!L$24+Poland!L$21+Spain!L$14+Switzerland!L$24+Netherlands!L$12+UK!L$16+'Czech Republic'!L$16+France!L$32</f>
        <v>105049.981388067</v>
      </c>
      <c r="M39" s="95">
        <f>Belgium!M$15+Denmark!M$23+Italy!M$24+Poland!M$21+Spain!M$14+Switzerland!M$24+Netherlands!M$12+UK!M$16+'Czech Republic'!M$16+France!M$32</f>
        <v>105912</v>
      </c>
      <c r="N39" s="97">
        <f>Belgium!N$15+Denmark!N$23+Italy!N$24+Poland!N$21+Spain!N$14+Switzerland!N$24+Netherlands!N$12+UK!N$16+'Czech Republic'!N$16</f>
        <v>46620</v>
      </c>
    </row>
    <row r="40" spans="1:14" s="66" customFormat="1" ht="12.75">
      <c r="A40" s="69" t="s">
        <v>94</v>
      </c>
      <c r="B40" s="70">
        <f t="shared" si="2"/>
        <v>1.4858293589394886</v>
      </c>
      <c r="C40" s="99">
        <f>E40-'[1]EU - variety'!E40</f>
        <v>-79.74509444654052</v>
      </c>
      <c r="D40" s="95">
        <f>F40-'[1]EU - variety'!F40</f>
        <v>-151.80221208657423</v>
      </c>
      <c r="E40" s="71">
        <f>Belgium!E$16+Italy!E$25+Poland!E$22+Netherlands!E$13+UK!E$17+France!E$33+Denmark!E$24</f>
        <v>118.01934470469584</v>
      </c>
      <c r="F40" s="90">
        <f>Belgium!F$16+Italy!F$25+Poland!F$22+Netherlands!F$13+UK!F$17+France!F$33+Denmark!F$24</f>
        <v>47.47684883528996</v>
      </c>
      <c r="G40" s="95">
        <f>Belgium!G$16+Italy!G$25+Poland!G$22+Netherlands!G$13+UK!G$17+France!G$33+Denmark!G$24</f>
        <v>94.57932104447829</v>
      </c>
      <c r="H40" s="95">
        <f>Belgium!H$16+Italy!H$25+Poland!H$22+Netherlands!H$13+UK!H$17+France!H$33+Denmark!H$24</f>
        <v>228</v>
      </c>
      <c r="I40" s="95">
        <f>Belgium!I$16+Italy!I$25+Poland!I$22+Netherlands!I$13+UK!I$17+France!I$33+Denmark!I$24</f>
        <v>93</v>
      </c>
      <c r="J40" s="95">
        <f>Belgium!J$16+Italy!J$25+Poland!J$22+Netherlands!J$13+UK!J$17+France!J$33</f>
        <v>0</v>
      </c>
      <c r="K40" s="95">
        <f>Belgium!K$16+Italy!K$25+Poland!K$22+Netherlands!K$13+UK!K$17+France!K$33</f>
        <v>39</v>
      </c>
      <c r="L40" s="95">
        <f>Belgium!L$16+Italy!L$25+Poland!L$22+Netherlands!L$13+UK!L$17+France!L$33</f>
        <v>6</v>
      </c>
      <c r="M40" s="95">
        <f>Belgium!M$16+Italy!M$25+Poland!M$22+Netherlands!M$13+UK!M$17+France!M$33</f>
        <v>0</v>
      </c>
      <c r="N40" s="97">
        <f>Belgium!N$16+Italy!N$25+Poland!N$22+Netherlands!N$13+UK!N$17</f>
        <v>0</v>
      </c>
    </row>
    <row r="41" spans="1:14" s="66" customFormat="1" ht="12.75">
      <c r="A41" s="69" t="s">
        <v>30</v>
      </c>
      <c r="B41" s="70">
        <f t="shared" si="2"/>
        <v>3.2515096295931536</v>
      </c>
      <c r="C41" s="99">
        <f>E41-'[1]EU - variety'!E41</f>
        <v>-3055.633358301861</v>
      </c>
      <c r="D41" s="95">
        <f>F41-'[1]EU - variety'!F41</f>
        <v>-2464.78129385128</v>
      </c>
      <c r="E41" s="71">
        <f>Italy!E$26</f>
        <v>2259.0144468612793</v>
      </c>
      <c r="F41" s="90">
        <f>Italy!F$26</f>
        <v>531.3440739113308</v>
      </c>
      <c r="G41" s="95">
        <f>Italy!G$26</f>
        <v>1411.3845740371353</v>
      </c>
      <c r="H41" s="95">
        <f>Italy!H$26</f>
        <v>456.1163015462021</v>
      </c>
      <c r="I41" s="95">
        <f>Italy!I$26</f>
        <v>3460.509660080935</v>
      </c>
      <c r="J41" s="95">
        <f>Italy!J$26</f>
        <v>62</v>
      </c>
      <c r="K41" s="95">
        <f>Italy!K$26</f>
        <v>0</v>
      </c>
      <c r="L41" s="95">
        <f>Italy!L$26</f>
        <v>110.2569410366679</v>
      </c>
      <c r="M41" s="95">
        <f>Italy!M$26</f>
        <v>0</v>
      </c>
      <c r="N41" s="97">
        <f>Italy!N$26</f>
        <v>0</v>
      </c>
    </row>
    <row r="42" spans="1:14" s="66" customFormat="1" ht="12.75">
      <c r="A42" s="69" t="s">
        <v>152</v>
      </c>
      <c r="B42" s="70">
        <f t="shared" si="2"/>
        <v>0.30657266317944054</v>
      </c>
      <c r="C42" s="99">
        <f>E42-'[1]EU - variety'!E42</f>
        <v>5745</v>
      </c>
      <c r="D42" s="95">
        <f>F42-'[1]EU - variety'!F42</f>
        <v>4397</v>
      </c>
      <c r="E42" s="71">
        <f>Portugal!E$13</f>
        <v>5745</v>
      </c>
      <c r="F42" s="90">
        <f>Portugal!F$13</f>
        <v>4397</v>
      </c>
      <c r="G42" s="95">
        <f>Portugal!G$13</f>
        <v>2891</v>
      </c>
      <c r="H42" s="95">
        <f>Portugal!H$13</f>
        <v>6678.571428571428</v>
      </c>
      <c r="I42" s="95">
        <f>Portugal!I$13</f>
        <v>26042.682926829268</v>
      </c>
      <c r="J42" s="95">
        <f>Portugal!J$13</f>
        <v>0</v>
      </c>
      <c r="K42" s="95">
        <f>Portugal!K$13</f>
        <v>0</v>
      </c>
      <c r="L42" s="95">
        <f>Portugal!L$13</f>
        <v>0</v>
      </c>
      <c r="M42" s="95"/>
      <c r="N42" s="97"/>
    </row>
    <row r="43" spans="1:14" s="66" customFormat="1" ht="13.5" thickBot="1">
      <c r="A43" s="73" t="s">
        <v>6</v>
      </c>
      <c r="B43" s="74">
        <f t="shared" si="2"/>
        <v>0.27629513343799056</v>
      </c>
      <c r="C43" s="100">
        <f>E43-'[1]EU - variety'!E43</f>
        <v>-3345</v>
      </c>
      <c r="D43" s="96">
        <f>F43-'[1]EU - variety'!F43</f>
        <v>-3735.6949393896903</v>
      </c>
      <c r="E43" s="75">
        <f>Belgium!E$18+Denmark!E$25+Germany!E$25+Italy!E$27+Poland!E$23+Spain!E$15+Spain!E$16+Switzerland!E$23+Switzerland!E$25+Switzerland!E$26+Switzerland!E$27+Netherlands!E$14+UK!E$18+'Czech Republic'!E$17+'Czech Republic'!E$18+'Czech Republic'!E$19+'Czech Republic'!E$20+France!E$31+France!E$35+France!E$36+France!E$37+France!E$30</f>
        <v>813</v>
      </c>
      <c r="F43" s="90">
        <f>Belgium!F$18+Denmark!F$25+Germany!F$25+Italy!F$27+Poland!F$23+Spain!F$15+Spain!F$16+Switzerland!F$23+Switzerland!F$25+Switzerland!F$26+Switzerland!F$27+Netherlands!F$14+UK!F$18+'Czech Republic'!F$17+'Czech Republic'!F$18+'Czech Republic'!F$19+'Czech Republic'!F$20+France!F$31+France!F$35+France!F$36+France!F$37+France!F$30</f>
        <v>637</v>
      </c>
      <c r="G43" s="96">
        <f>Belgium!G$18+Denmark!G$25+Germany!G$25+Italy!G$27+Poland!G$23+Spain!G$15+Spain!G$16+Switzerland!G$23+Switzerland!G$25+Switzerland!G$26+Switzerland!G$27+Netherlands!G$14+UK!G$18+'Czech Republic'!G$17+'Czech Republic'!G$18+'Czech Republic'!G$19+'Czech Republic'!G$20+France!G$31+France!G$35+France!G$36+France!G$37+France!G$30</f>
        <v>572.6136074214071</v>
      </c>
      <c r="H43" s="96">
        <f>Belgium!H$18+Denmark!H$25+Germany!H$25+Italy!H$27+Poland!H$23+Spain!H$15+Spain!H$16+Switzerland!H$23+Switzerland!H$25+Switzerland!H$27+Netherlands!H$14+UK!H$18+'Czech Republic'!H$17+'Czech Republic'!H$18+'Czech Republic'!H$19+'Czech Republic'!H$20+France!H$31+France!H$35+France!H$36+France!H$37+France!H$30</f>
        <v>2031.2290439664196</v>
      </c>
      <c r="I43" s="96">
        <f>Belgium!I$18+Denmark!I$25+Germany!I$25+Italy!I$27+Poland!I$23+Spain!I$15+Spain!I$16+Switzerland!I$23+Switzerland!I$25+Switzerland!I$27+Netherlands!I$14+UK!I$18+'Czech Republic'!I$17+'Czech Republic'!I$18+'Czech Republic'!I$19+'Czech Republic'!I$20+France!I$31+France!I$35+France!I$36+France!I$37+France!I$30</f>
        <v>2425.7112358122</v>
      </c>
      <c r="J43" s="96">
        <f>Belgium!J$18+Denmark!J$25+Germany!J$25+Italy!J$27+Poland!J$23+Spain!J$15+Spain!J$16+Switzerland!J$23+Switzerland!J$25+Switzerland!J$27+Netherlands!J$14+UK!J$18+'Czech Republic'!J$17+'Czech Republic'!J$20+France!J$30+France!J$31+France!J$34+France!J$35+France!J$36+France!J$37</f>
        <v>41</v>
      </c>
      <c r="K43" s="96">
        <f>Belgium!K$18+Denmark!K$25+Germany!K$25+Italy!K$27+Poland!K$23+Spain!K$15+Spain!K$16+Switzerland!K$23+Switzerland!K$25+Switzerland!K$27+Netherlands!K$14+UK!K$18+'Czech Republic'!K$17+'Czech Republic'!K$20+France!K$30+France!K$31+France!K$34+France!K$35+France!K$36+France!K$37</f>
        <v>10921.564578752064</v>
      </c>
      <c r="L43" s="96">
        <f>Belgium!L$18+Denmark!L$25+Germany!L$25+Italy!L$27+Poland!L$23+Spain!L$15+Spain!L$16+Switzerland!L$23+Switzerland!L$25+Switzerland!L$27+Netherlands!L$14+UK!L$18+'Czech Republic'!L$17+'Czech Republic'!L$20+France!L$30+France!L$31+France!L$34+France!L$35+France!L$36+France!L$37</f>
        <v>466.4106538065244</v>
      </c>
      <c r="M43" s="96">
        <f>Belgium!M$18+Denmark!M$25+Germany!M$25+Italy!M$27+Poland!M$23+Spain!M$15+Spain!M$16+Switzerland!M$23+Switzerland!M$25+Switzerland!M$27+Netherlands!M$14+UK!M$18+'Czech Republic'!M$17+'Czech Republic'!M$20+France!M$30+France!M$31+France!M$34+France!M$35+France!M$36+France!M$37</f>
        <v>5810</v>
      </c>
      <c r="N43" s="98">
        <f>Belgium!N$18+Denmark!N$25+Germany!N$25+Italy!N$27+Poland!N$23+Spain!N$15+Spain!N$16+Switzerland!N$23+Switzerland!N$25+Switzerland!N$27+Netherlands!N$14+UK!N$18+'Czech Republic'!N$17+'Czech Republic'!N$20</f>
        <v>451</v>
      </c>
    </row>
    <row r="44" spans="1:14" s="66" customFormat="1" ht="13.5" thickBot="1">
      <c r="A44" s="77" t="s">
        <v>93</v>
      </c>
      <c r="B44" s="126">
        <f t="shared" si="2"/>
        <v>0.07317606888864696</v>
      </c>
      <c r="C44" s="138">
        <f>E44-'[1]EU - variety'!E44</f>
        <v>-98424.80452186905</v>
      </c>
      <c r="D44" s="139">
        <f>F44-'[1]EU - variety'!F44</f>
        <v>-100447.77351442706</v>
      </c>
      <c r="E44" s="150">
        <f>SUM(E36:E43)</f>
        <v>127395.76386055752</v>
      </c>
      <c r="F44" s="113">
        <f>SUM(F36:F43)</f>
        <v>118709.09867798789</v>
      </c>
      <c r="G44" s="113">
        <f>SUM(G36:G43)</f>
        <v>157503.7098084004</v>
      </c>
      <c r="H44" s="113">
        <f>SUM(H36:H43)</f>
        <v>114608.64044516603</v>
      </c>
      <c r="I44" s="113">
        <f aca="true" t="shared" si="3" ref="I44:N44">SUM(I36:I43)</f>
        <v>133413.2517757981</v>
      </c>
      <c r="J44" s="113">
        <f t="shared" si="3"/>
        <v>49626.64431367651</v>
      </c>
      <c r="K44" s="113">
        <f t="shared" si="3"/>
        <v>141358.12157305106</v>
      </c>
      <c r="L44" s="113">
        <f t="shared" si="3"/>
        <v>109839.65628555002</v>
      </c>
      <c r="M44" s="113">
        <f t="shared" si="3"/>
        <v>114320</v>
      </c>
      <c r="N44" s="134">
        <f t="shared" si="3"/>
        <v>48250</v>
      </c>
    </row>
    <row r="45" spans="1:14" s="66" customFormat="1" ht="12.75">
      <c r="A45" s="3" t="s">
        <v>165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s="66" customFormat="1" ht="12.75">
      <c r="A46" s="66" t="s">
        <v>169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4:14" s="66" customFormat="1" ht="12.75"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42187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95</v>
      </c>
      <c r="B2" s="35"/>
      <c r="C2" s="63">
        <f>E2-'[1]Austria'!E2</f>
        <v>0</v>
      </c>
      <c r="D2" s="13">
        <f>F2-'[1]Austria'!F2</f>
        <v>0</v>
      </c>
      <c r="E2" s="148">
        <v>23</v>
      </c>
      <c r="F2" s="13">
        <v>0</v>
      </c>
      <c r="G2" s="13">
        <v>440.07</v>
      </c>
      <c r="H2" s="13">
        <v>438.56</v>
      </c>
      <c r="I2" s="13">
        <v>1077.5900000000001</v>
      </c>
      <c r="J2" s="13">
        <v>604</v>
      </c>
      <c r="K2" s="13">
        <v>1233</v>
      </c>
      <c r="L2" s="13">
        <v>1513</v>
      </c>
      <c r="M2" s="13">
        <v>1527</v>
      </c>
      <c r="N2" s="13">
        <v>2911</v>
      </c>
      <c r="O2" s="13">
        <v>1901</v>
      </c>
      <c r="P2" s="37">
        <v>1613</v>
      </c>
    </row>
    <row r="3" spans="1:16" ht="12.75">
      <c r="A3" s="27" t="s">
        <v>4</v>
      </c>
      <c r="B3" s="35"/>
      <c r="C3" s="63">
        <f>E3-'[1]Austria'!E3</f>
        <v>0</v>
      </c>
      <c r="D3" s="13">
        <f>F3-'[1]Austria'!F3</f>
        <v>0</v>
      </c>
      <c r="E3" s="148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/>
      <c r="M3" s="13">
        <v>0</v>
      </c>
      <c r="N3" s="13">
        <v>2</v>
      </c>
      <c r="O3" s="13">
        <v>0</v>
      </c>
      <c r="P3" s="37">
        <v>0</v>
      </c>
    </row>
    <row r="4" spans="1:16" ht="12.75">
      <c r="A4" s="27" t="s">
        <v>11</v>
      </c>
      <c r="B4" s="35">
        <f aca="true" t="shared" si="0" ref="B4:B21">(E4-F4)/F4</f>
        <v>4.016904129437334</v>
      </c>
      <c r="C4" s="63">
        <f>E4-'[1]Austria'!E4</f>
        <v>-602</v>
      </c>
      <c r="D4" s="13">
        <f>F4-'[1]Austria'!F4</f>
        <v>-252.38</v>
      </c>
      <c r="E4" s="148">
        <v>831</v>
      </c>
      <c r="F4" s="13">
        <v>165.64</v>
      </c>
      <c r="G4" s="13">
        <v>2496.49</v>
      </c>
      <c r="H4" s="13">
        <v>966.21</v>
      </c>
      <c r="I4" s="13">
        <v>3925.4</v>
      </c>
      <c r="J4" s="13">
        <v>483</v>
      </c>
      <c r="K4" s="13">
        <v>1226</v>
      </c>
      <c r="L4" s="13">
        <v>4</v>
      </c>
      <c r="M4" s="13">
        <v>2094</v>
      </c>
      <c r="N4" s="13">
        <v>413</v>
      </c>
      <c r="O4" s="13">
        <v>106</v>
      </c>
      <c r="P4" s="37">
        <v>100</v>
      </c>
    </row>
    <row r="5" spans="1:16" ht="12.75">
      <c r="A5" s="27" t="s">
        <v>2</v>
      </c>
      <c r="B5" s="35"/>
      <c r="C5" s="63">
        <f>E5-'[1]Austria'!E5</f>
        <v>0</v>
      </c>
      <c r="D5" s="13">
        <f>F5-'[1]Austria'!F5</f>
        <v>0</v>
      </c>
      <c r="E5" s="148">
        <v>0</v>
      </c>
      <c r="F5" s="13">
        <v>0</v>
      </c>
      <c r="G5" s="13">
        <v>49.49</v>
      </c>
      <c r="H5" s="13">
        <v>319.16</v>
      </c>
      <c r="I5" s="13">
        <v>219.17</v>
      </c>
      <c r="J5" s="13">
        <v>28</v>
      </c>
      <c r="K5" s="13">
        <v>537</v>
      </c>
      <c r="L5" s="13">
        <v>373</v>
      </c>
      <c r="M5" s="13">
        <v>445</v>
      </c>
      <c r="N5" s="13">
        <v>143</v>
      </c>
      <c r="O5" s="13">
        <v>403</v>
      </c>
      <c r="P5" s="37">
        <v>1379</v>
      </c>
    </row>
    <row r="6" spans="1:16" ht="12.75">
      <c r="A6" s="27" t="s">
        <v>156</v>
      </c>
      <c r="B6" s="35">
        <f t="shared" si="0"/>
        <v>0.6181794390892835</v>
      </c>
      <c r="C6" s="63">
        <f>E6-'[1]Austria'!E6</f>
        <v>-1303</v>
      </c>
      <c r="D6" s="13">
        <f>F6-'[1]Austria'!F6</f>
        <v>-701.4300000000001</v>
      </c>
      <c r="E6" s="148">
        <v>1113</v>
      </c>
      <c r="F6" s="13">
        <v>687.81</v>
      </c>
      <c r="G6" s="13">
        <v>3348.15</v>
      </c>
      <c r="H6" s="13">
        <v>3334.01</v>
      </c>
      <c r="I6" s="13">
        <v>2074.54</v>
      </c>
      <c r="J6" s="13">
        <v>933</v>
      </c>
      <c r="K6" s="13">
        <v>1223</v>
      </c>
      <c r="L6" s="13"/>
      <c r="M6" s="13"/>
      <c r="N6" s="13"/>
      <c r="O6" s="13"/>
      <c r="P6" s="37"/>
    </row>
    <row r="7" spans="1:16" ht="12.75">
      <c r="A7" s="29" t="s">
        <v>12</v>
      </c>
      <c r="B7" s="35">
        <f t="shared" si="0"/>
        <v>45.78217821782178</v>
      </c>
      <c r="C7" s="63">
        <f>E7-'[1]Austria'!E7</f>
        <v>-288</v>
      </c>
      <c r="D7" s="13">
        <f>F7-'[1]Austria'!F7</f>
        <v>-36.800000000000004</v>
      </c>
      <c r="E7" s="148">
        <v>378</v>
      </c>
      <c r="F7" s="108">
        <v>8.08</v>
      </c>
      <c r="G7" s="108">
        <v>1166.55</v>
      </c>
      <c r="H7" s="108">
        <v>1050.4</v>
      </c>
      <c r="I7" s="108">
        <v>1269.57</v>
      </c>
      <c r="J7" s="108">
        <v>224</v>
      </c>
      <c r="K7" s="108">
        <v>1374</v>
      </c>
      <c r="L7" s="108">
        <v>287</v>
      </c>
      <c r="M7" s="108">
        <v>810</v>
      </c>
      <c r="N7" s="108">
        <v>404</v>
      </c>
      <c r="O7" s="13">
        <v>600</v>
      </c>
      <c r="P7" s="37">
        <v>38</v>
      </c>
    </row>
    <row r="8" spans="1:16" ht="12.75">
      <c r="A8" s="27" t="s">
        <v>9</v>
      </c>
      <c r="B8" s="35">
        <f t="shared" si="0"/>
        <v>20.622015142690735</v>
      </c>
      <c r="C8" s="63">
        <f>E8-'[1]Austria'!E8</f>
        <v>-1608</v>
      </c>
      <c r="D8" s="13">
        <f>F8-'[1]Austria'!F8</f>
        <v>-20.45999999999998</v>
      </c>
      <c r="E8" s="148">
        <v>2970</v>
      </c>
      <c r="F8" s="13">
        <v>137.36</v>
      </c>
      <c r="G8" s="13">
        <v>5539.64</v>
      </c>
      <c r="H8" s="13">
        <v>5281.91</v>
      </c>
      <c r="I8" s="13">
        <v>8027.39</v>
      </c>
      <c r="J8" s="13">
        <v>1581</v>
      </c>
      <c r="K8" s="13">
        <v>4238</v>
      </c>
      <c r="L8" s="13">
        <v>8497</v>
      </c>
      <c r="M8" s="13">
        <v>4556</v>
      </c>
      <c r="N8" s="13">
        <v>7885</v>
      </c>
      <c r="O8" s="13">
        <v>2524</v>
      </c>
      <c r="P8" s="37">
        <v>1939</v>
      </c>
    </row>
    <row r="9" spans="1:16" ht="12.75">
      <c r="A9" s="27" t="s">
        <v>14</v>
      </c>
      <c r="B9" s="35"/>
      <c r="C9" s="63">
        <f>E9-'[1]Austria'!E9</f>
        <v>0</v>
      </c>
      <c r="D9" s="13">
        <f>F9-'[1]Austria'!F9</f>
        <v>0</v>
      </c>
      <c r="E9" s="148"/>
      <c r="F9" s="13"/>
      <c r="G9" s="13"/>
      <c r="H9" s="13"/>
      <c r="I9" s="13"/>
      <c r="J9" s="13">
        <v>0</v>
      </c>
      <c r="K9" s="13">
        <v>0</v>
      </c>
      <c r="L9" s="13">
        <v>0</v>
      </c>
      <c r="M9" s="13">
        <v>44</v>
      </c>
      <c r="N9" s="13">
        <v>7</v>
      </c>
      <c r="O9" s="13">
        <v>0</v>
      </c>
      <c r="P9" s="37">
        <v>44</v>
      </c>
    </row>
    <row r="10" spans="1:16" ht="12.75">
      <c r="A10" s="27" t="s">
        <v>3</v>
      </c>
      <c r="B10" s="35">
        <f t="shared" si="0"/>
        <v>0.07302784794184836</v>
      </c>
      <c r="C10" s="63">
        <f>E10-'[1]Austria'!E10</f>
        <v>-3346</v>
      </c>
      <c r="D10" s="13">
        <f>F10-'[1]Austria'!F10</f>
        <v>-1305.050000000001</v>
      </c>
      <c r="E10" s="148">
        <v>10565</v>
      </c>
      <c r="F10" s="13">
        <v>9845.97</v>
      </c>
      <c r="G10" s="13">
        <v>24339.93</v>
      </c>
      <c r="H10" s="13">
        <v>29047.22</v>
      </c>
      <c r="I10" s="13">
        <v>16992.39</v>
      </c>
      <c r="J10" s="13">
        <v>23101</v>
      </c>
      <c r="K10" s="13">
        <v>31735</v>
      </c>
      <c r="L10" s="13">
        <v>23214</v>
      </c>
      <c r="M10" s="13">
        <v>26037</v>
      </c>
      <c r="N10" s="13">
        <v>30671</v>
      </c>
      <c r="O10" s="13">
        <v>23550</v>
      </c>
      <c r="P10" s="37">
        <v>21168</v>
      </c>
    </row>
    <row r="11" spans="1:16" ht="12.75">
      <c r="A11" s="27" t="s">
        <v>17</v>
      </c>
      <c r="B11" s="35"/>
      <c r="C11" s="63">
        <f>E11-'[1]Austria'!E11</f>
        <v>-4</v>
      </c>
      <c r="D11" s="13">
        <f>F11-'[1]Austria'!F11</f>
        <v>0</v>
      </c>
      <c r="E11" s="148">
        <v>5</v>
      </c>
      <c r="F11" s="108">
        <v>0</v>
      </c>
      <c r="G11" s="108">
        <v>9.09</v>
      </c>
      <c r="H11" s="108">
        <v>160.59</v>
      </c>
      <c r="I11" s="108">
        <v>0</v>
      </c>
      <c r="J11" s="108">
        <v>0</v>
      </c>
      <c r="K11" s="108">
        <v>11</v>
      </c>
      <c r="L11" s="108">
        <v>15</v>
      </c>
      <c r="M11" s="108">
        <v>0</v>
      </c>
      <c r="N11" s="108">
        <v>0</v>
      </c>
      <c r="O11" s="13">
        <v>0</v>
      </c>
      <c r="P11" s="37">
        <v>0</v>
      </c>
    </row>
    <row r="12" spans="1:16" ht="12.75">
      <c r="A12" s="28" t="s">
        <v>10</v>
      </c>
      <c r="B12" s="35">
        <f t="shared" si="0"/>
        <v>17.07665915106362</v>
      </c>
      <c r="C12" s="63">
        <f>E12-'[1]Austria'!E12</f>
        <v>-236</v>
      </c>
      <c r="D12" s="13">
        <f>F12-'[1]Austria'!F12</f>
        <v>-53.64999999999999</v>
      </c>
      <c r="E12" s="148">
        <v>1844</v>
      </c>
      <c r="F12" s="108">
        <v>102.01</v>
      </c>
      <c r="G12" s="108">
        <v>11725.99</v>
      </c>
      <c r="H12" s="108">
        <v>6371.31</v>
      </c>
      <c r="I12" s="108">
        <v>14994.43</v>
      </c>
      <c r="J12" s="108">
        <v>9429</v>
      </c>
      <c r="K12" s="108">
        <v>13767</v>
      </c>
      <c r="L12" s="108">
        <v>12011</v>
      </c>
      <c r="M12" s="108">
        <v>14479</v>
      </c>
      <c r="N12" s="108">
        <v>12421</v>
      </c>
      <c r="O12" s="13">
        <v>7832</v>
      </c>
      <c r="P12" s="37">
        <v>11908</v>
      </c>
    </row>
    <row r="13" spans="1:16" ht="12.75">
      <c r="A13" s="28" t="s">
        <v>27</v>
      </c>
      <c r="B13" s="35">
        <f t="shared" si="0"/>
        <v>6.392179895955697</v>
      </c>
      <c r="C13" s="63">
        <f>E13-'[1]Austria'!E13</f>
        <v>-363</v>
      </c>
      <c r="D13" s="13">
        <f>F13-'[1]Austria'!F13</f>
        <v>-150.8</v>
      </c>
      <c r="E13" s="148">
        <v>881</v>
      </c>
      <c r="F13" s="108">
        <v>119.18</v>
      </c>
      <c r="G13" s="108">
        <v>5079.6</v>
      </c>
      <c r="H13" s="108">
        <v>4788.47</v>
      </c>
      <c r="I13" s="108">
        <v>5309.58</v>
      </c>
      <c r="J13" s="108">
        <v>3695</v>
      </c>
      <c r="K13" s="108">
        <v>5209</v>
      </c>
      <c r="L13" s="108">
        <v>5568</v>
      </c>
      <c r="M13" s="108">
        <v>6975</v>
      </c>
      <c r="N13" s="108">
        <v>4700</v>
      </c>
      <c r="O13" s="13">
        <v>4187</v>
      </c>
      <c r="P13" s="37">
        <v>5377</v>
      </c>
    </row>
    <row r="14" spans="1:16" ht="12.75">
      <c r="A14" s="29" t="s">
        <v>26</v>
      </c>
      <c r="B14" s="35"/>
      <c r="C14" s="63">
        <f>E14-'[1]Austria'!E14</f>
        <v>0</v>
      </c>
      <c r="D14" s="13">
        <f>F14-'[1]Austria'!F14</f>
        <v>0</v>
      </c>
      <c r="E14" s="148">
        <v>0</v>
      </c>
      <c r="F14" s="108">
        <v>0</v>
      </c>
      <c r="G14" s="108">
        <v>2048.28</v>
      </c>
      <c r="H14" s="108">
        <v>1119.08</v>
      </c>
      <c r="I14" s="108">
        <v>2407.84</v>
      </c>
      <c r="J14" s="108">
        <v>1720</v>
      </c>
      <c r="K14" s="108">
        <v>2791</v>
      </c>
      <c r="L14" s="108">
        <v>2485</v>
      </c>
      <c r="M14" s="108">
        <v>3482</v>
      </c>
      <c r="N14" s="108">
        <v>2849</v>
      </c>
      <c r="O14" s="13">
        <v>3189</v>
      </c>
      <c r="P14" s="37">
        <v>3126</v>
      </c>
    </row>
    <row r="15" spans="1:16" ht="12.75">
      <c r="A15" s="29" t="s">
        <v>96</v>
      </c>
      <c r="B15" s="35"/>
      <c r="C15" s="63">
        <f>E15-'[1]Austria'!E15</f>
        <v>0</v>
      </c>
      <c r="D15" s="13">
        <f>F15-'[1]Austria'!F15</f>
        <v>0</v>
      </c>
      <c r="E15" s="14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3">
        <v>0</v>
      </c>
      <c r="P15" s="37">
        <v>0</v>
      </c>
    </row>
    <row r="16" spans="1:16" ht="12.75">
      <c r="A16" s="29" t="s">
        <v>13</v>
      </c>
      <c r="B16" s="35">
        <f t="shared" si="0"/>
        <v>28.32216298552932</v>
      </c>
      <c r="C16" s="63">
        <f>E16-'[1]Austria'!E16</f>
        <v>-20</v>
      </c>
      <c r="D16" s="13">
        <f>F16-'[1]Austria'!F16</f>
        <v>-47.05</v>
      </c>
      <c r="E16" s="148">
        <v>385</v>
      </c>
      <c r="F16" s="108">
        <v>13.13</v>
      </c>
      <c r="G16" s="108">
        <v>688.82</v>
      </c>
      <c r="H16" s="108">
        <v>279.77</v>
      </c>
      <c r="I16" s="108">
        <v>926.29</v>
      </c>
      <c r="J16" s="108">
        <v>487</v>
      </c>
      <c r="K16" s="108">
        <v>564</v>
      </c>
      <c r="L16" s="108">
        <v>1258</v>
      </c>
      <c r="M16" s="108">
        <v>965</v>
      </c>
      <c r="N16" s="108">
        <v>977</v>
      </c>
      <c r="O16" s="13">
        <v>259</v>
      </c>
      <c r="P16" s="37">
        <v>507</v>
      </c>
    </row>
    <row r="17" spans="1:16" ht="12.75">
      <c r="A17" s="29" t="s">
        <v>135</v>
      </c>
      <c r="B17" s="35"/>
      <c r="C17" s="63">
        <f>E17-'[1]Austria'!E17</f>
        <v>-9</v>
      </c>
      <c r="D17" s="13"/>
      <c r="E17" s="148">
        <v>313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3"/>
      <c r="P17" s="37"/>
    </row>
    <row r="18" spans="1:16" ht="12.75">
      <c r="A18" s="29" t="s">
        <v>116</v>
      </c>
      <c r="B18" s="35"/>
      <c r="C18" s="63">
        <f>E18-'[1]Austria'!E18</f>
        <v>0</v>
      </c>
      <c r="D18" s="13">
        <f>F18-'[1]Austria'!F18</f>
        <v>0</v>
      </c>
      <c r="E18" s="148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8</v>
      </c>
      <c r="N18" s="13">
        <v>8</v>
      </c>
      <c r="O18" s="13">
        <v>23</v>
      </c>
      <c r="P18" s="37">
        <v>0</v>
      </c>
    </row>
    <row r="19" spans="1:16" ht="12.75">
      <c r="A19" s="29" t="s">
        <v>97</v>
      </c>
      <c r="B19" s="35"/>
      <c r="C19" s="63">
        <f>E19-'[1]Austria'!E19</f>
        <v>0</v>
      </c>
      <c r="D19" s="13">
        <f>F19-'[1]Austria'!F19</f>
        <v>0</v>
      </c>
      <c r="E19" s="148">
        <v>0</v>
      </c>
      <c r="F19" s="13">
        <v>0</v>
      </c>
      <c r="G19" s="13">
        <v>1280.59</v>
      </c>
      <c r="H19" s="13">
        <v>1692.4</v>
      </c>
      <c r="I19" s="13">
        <v>1403.45</v>
      </c>
      <c r="J19" s="13">
        <v>343</v>
      </c>
      <c r="K19" s="13">
        <v>2066</v>
      </c>
      <c r="L19" s="13">
        <v>1317</v>
      </c>
      <c r="M19" s="13">
        <v>1461</v>
      </c>
      <c r="N19" s="13">
        <v>0</v>
      </c>
      <c r="O19" s="13">
        <v>0</v>
      </c>
      <c r="P19" s="37">
        <v>0</v>
      </c>
    </row>
    <row r="20" spans="1:16" ht="13.5" thickBot="1">
      <c r="A20" s="30" t="s">
        <v>59</v>
      </c>
      <c r="B20" s="36">
        <f t="shared" si="0"/>
        <v>-0.9814814814814815</v>
      </c>
      <c r="C20" s="64">
        <f>E20-'[1]Austria'!E20</f>
        <v>-90</v>
      </c>
      <c r="D20" s="15">
        <f>F20-'[1]Austria'!F20</f>
        <v>-151</v>
      </c>
      <c r="E20" s="149">
        <v>1</v>
      </c>
      <c r="F20" s="15">
        <v>54</v>
      </c>
      <c r="G20" s="109">
        <v>105.03</v>
      </c>
      <c r="H20" s="109">
        <v>255</v>
      </c>
      <c r="I20" s="109">
        <v>1001.4</v>
      </c>
      <c r="J20" s="109">
        <v>120</v>
      </c>
      <c r="K20" s="109">
        <v>90</v>
      </c>
      <c r="L20" s="109">
        <v>446</v>
      </c>
      <c r="M20" s="109">
        <v>66</v>
      </c>
      <c r="N20" s="109">
        <v>46</v>
      </c>
      <c r="O20" s="15">
        <v>65</v>
      </c>
      <c r="P20" s="39">
        <v>104</v>
      </c>
    </row>
    <row r="21" spans="1:16" ht="13.5" thickBot="1">
      <c r="A21" s="45" t="s">
        <v>23</v>
      </c>
      <c r="B21" s="41">
        <f t="shared" si="0"/>
        <v>0.7343652038321489</v>
      </c>
      <c r="C21" s="65">
        <f>E21-'[1]Austria'!E21</f>
        <v>-7869</v>
      </c>
      <c r="D21" s="42">
        <f>F21-'[1]Austria'!F21</f>
        <v>-2718.620000000001</v>
      </c>
      <c r="E21" s="137">
        <f aca="true" t="shared" si="1" ref="E21:J21">SUM(E2:E20)</f>
        <v>19309</v>
      </c>
      <c r="F21" s="42">
        <f t="shared" si="1"/>
        <v>11133.179999999998</v>
      </c>
      <c r="G21" s="42">
        <f t="shared" si="1"/>
        <v>58317.71999999999</v>
      </c>
      <c r="H21" s="42">
        <f t="shared" si="1"/>
        <v>55104.09</v>
      </c>
      <c r="I21" s="42">
        <f t="shared" si="1"/>
        <v>59629.04000000001</v>
      </c>
      <c r="J21" s="42">
        <f t="shared" si="1"/>
        <v>42748</v>
      </c>
      <c r="K21" s="42">
        <f aca="true" t="shared" si="2" ref="K21:P21">SUM(K2:K20)</f>
        <v>66064</v>
      </c>
      <c r="L21" s="42">
        <f t="shared" si="2"/>
        <v>56988</v>
      </c>
      <c r="M21" s="42">
        <f t="shared" si="2"/>
        <v>62949</v>
      </c>
      <c r="N21" s="42">
        <f t="shared" si="2"/>
        <v>63437</v>
      </c>
      <c r="O21" s="42">
        <f t="shared" si="2"/>
        <v>44639</v>
      </c>
      <c r="P21" s="43">
        <f t="shared" si="2"/>
        <v>47303</v>
      </c>
    </row>
    <row r="22" spans="2:14" s="9" customFormat="1" ht="12.75">
      <c r="B22" s="44"/>
      <c r="C22" s="44"/>
      <c r="D22" s="44"/>
      <c r="E22" s="44"/>
      <c r="F22" s="44"/>
      <c r="G22" s="12"/>
      <c r="H22" s="12"/>
      <c r="I22" s="12"/>
      <c r="J22" s="12"/>
      <c r="K22" s="12"/>
      <c r="L22" s="12"/>
      <c r="M22" s="12"/>
      <c r="N22" s="12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6"/>
      <c r="P37" s="1"/>
      <c r="Q37" s="1"/>
    </row>
    <row r="38" spans="15:17" ht="18.75">
      <c r="O38" s="7"/>
      <c r="P38" s="2"/>
      <c r="Q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4</v>
      </c>
      <c r="B2" s="35"/>
      <c r="C2" s="63">
        <f>E2-'[1]Belgium'!E2</f>
        <v>0</v>
      </c>
      <c r="D2" s="13">
        <f>F2-'[1]Belgium'!F2</f>
        <v>0</v>
      </c>
      <c r="E2" s="148">
        <v>0</v>
      </c>
      <c r="F2" s="13">
        <v>0</v>
      </c>
      <c r="G2" s="13">
        <v>396</v>
      </c>
      <c r="H2" s="13">
        <v>124</v>
      </c>
      <c r="I2" s="13">
        <v>291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4800</v>
      </c>
      <c r="P2" s="37">
        <v>1100</v>
      </c>
    </row>
    <row r="3" spans="1:16" ht="12.75">
      <c r="A3" s="27" t="s">
        <v>164</v>
      </c>
      <c r="B3" s="35"/>
      <c r="C3" s="63">
        <f>E3-'[1]Belgium'!E3</f>
        <v>0</v>
      </c>
      <c r="D3" s="13">
        <f>F3-'[1]Belgium'!F3</f>
        <v>0</v>
      </c>
      <c r="E3" s="148"/>
      <c r="F3" s="13"/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700</v>
      </c>
      <c r="P3" s="37">
        <v>0</v>
      </c>
    </row>
    <row r="4" spans="1:16" ht="12.75">
      <c r="A4" s="27" t="s">
        <v>2</v>
      </c>
      <c r="B4" s="35">
        <f aca="true" t="shared" si="0" ref="B4:B10">(E4-F4)/F4</f>
        <v>-1</v>
      </c>
      <c r="C4" s="63">
        <f>E4-'[1]Belgium'!E4</f>
        <v>-4</v>
      </c>
      <c r="D4" s="13">
        <f>F4-'[1]Belgium'!F4</f>
        <v>-1</v>
      </c>
      <c r="E4" s="148">
        <v>0</v>
      </c>
      <c r="F4" s="13">
        <v>1</v>
      </c>
      <c r="G4" s="13">
        <v>234</v>
      </c>
      <c r="H4" s="13">
        <v>475</v>
      </c>
      <c r="I4" s="13">
        <v>8</v>
      </c>
      <c r="J4" s="13">
        <v>0</v>
      </c>
      <c r="K4" s="13">
        <v>10</v>
      </c>
      <c r="L4" s="13">
        <v>0</v>
      </c>
      <c r="M4" s="13">
        <v>1</v>
      </c>
      <c r="N4" s="13">
        <v>0</v>
      </c>
      <c r="O4" s="13">
        <v>1500</v>
      </c>
      <c r="P4" s="37">
        <v>0</v>
      </c>
    </row>
    <row r="5" spans="1:16" ht="12.75">
      <c r="A5" s="27" t="s">
        <v>102</v>
      </c>
      <c r="B5" s="35"/>
      <c r="C5" s="63">
        <f>E5-'[1]Belgium'!E5</f>
        <v>0</v>
      </c>
      <c r="D5" s="13">
        <f>F5-'[1]Belgium'!F5</f>
        <v>0</v>
      </c>
      <c r="E5" s="148"/>
      <c r="F5" s="13"/>
      <c r="G5" s="13"/>
      <c r="H5" s="13"/>
      <c r="I5" s="13"/>
      <c r="J5" s="13"/>
      <c r="K5" s="13"/>
      <c r="L5" s="13"/>
      <c r="M5" s="13"/>
      <c r="N5" s="13"/>
      <c r="O5" s="13"/>
      <c r="P5" s="37">
        <v>100</v>
      </c>
    </row>
    <row r="6" spans="1:16" ht="12.75">
      <c r="A6" s="27" t="s">
        <v>3</v>
      </c>
      <c r="B6" s="35">
        <f t="shared" si="0"/>
        <v>-0.558362738179252</v>
      </c>
      <c r="C6" s="63">
        <f>E6-'[1]Belgium'!E6</f>
        <v>-1334</v>
      </c>
      <c r="D6" s="13">
        <f>F6-'[1]Belgium'!F6</f>
        <v>-1411</v>
      </c>
      <c r="E6" s="148">
        <v>3129</v>
      </c>
      <c r="F6" s="13">
        <v>7085</v>
      </c>
      <c r="G6" s="13">
        <v>10072</v>
      </c>
      <c r="H6" s="13">
        <v>6464</v>
      </c>
      <c r="I6" s="13">
        <v>5900</v>
      </c>
      <c r="J6" s="13">
        <v>4235</v>
      </c>
      <c r="K6" s="13">
        <v>5700</v>
      </c>
      <c r="L6" s="13">
        <v>1340</v>
      </c>
      <c r="M6" s="13">
        <v>11424</v>
      </c>
      <c r="N6" s="13">
        <v>5900</v>
      </c>
      <c r="O6" s="13">
        <v>10700</v>
      </c>
      <c r="P6" s="37">
        <v>8500</v>
      </c>
    </row>
    <row r="7" spans="1:16" ht="12.75">
      <c r="A7" s="28" t="s">
        <v>27</v>
      </c>
      <c r="B7" s="35">
        <f t="shared" si="0"/>
        <v>-0.9514195583596214</v>
      </c>
      <c r="C7" s="63">
        <f>E7-'[1]Belgium'!E7</f>
        <v>-619</v>
      </c>
      <c r="D7" s="13">
        <f>F7-'[1]Belgium'!F7</f>
        <v>-6035</v>
      </c>
      <c r="E7" s="148">
        <v>770</v>
      </c>
      <c r="F7" s="108">
        <v>15850</v>
      </c>
      <c r="G7" s="108">
        <v>34178</v>
      </c>
      <c r="H7" s="108">
        <v>40186</v>
      </c>
      <c r="I7" s="108">
        <v>19542</v>
      </c>
      <c r="J7" s="108">
        <v>12963</v>
      </c>
      <c r="K7" s="108">
        <v>20700</v>
      </c>
      <c r="L7" s="108">
        <v>30448</v>
      </c>
      <c r="M7" s="108">
        <v>53743</v>
      </c>
      <c r="N7" s="108">
        <v>80800</v>
      </c>
      <c r="O7" s="13">
        <v>57700</v>
      </c>
      <c r="P7" s="37">
        <v>60400</v>
      </c>
    </row>
    <row r="8" spans="1:16" ht="12.75">
      <c r="A8" s="29" t="s">
        <v>26</v>
      </c>
      <c r="B8" s="35">
        <f t="shared" si="0"/>
        <v>-0.9875776397515528</v>
      </c>
      <c r="C8" s="63">
        <f>E8-'[1]Belgium'!E8</f>
        <v>-316</v>
      </c>
      <c r="D8" s="13">
        <f>F8-'[1]Belgium'!F8</f>
        <v>-5715</v>
      </c>
      <c r="E8" s="148">
        <v>114</v>
      </c>
      <c r="F8" s="108">
        <v>9177</v>
      </c>
      <c r="G8" s="108">
        <v>9832</v>
      </c>
      <c r="H8" s="108">
        <v>16969</v>
      </c>
      <c r="I8" s="108">
        <v>5062</v>
      </c>
      <c r="J8" s="108">
        <v>6252</v>
      </c>
      <c r="K8" s="108">
        <v>13300</v>
      </c>
      <c r="L8" s="108">
        <v>4731</v>
      </c>
      <c r="M8" s="108">
        <v>12100</v>
      </c>
      <c r="N8" s="108">
        <v>15400</v>
      </c>
      <c r="O8" s="13">
        <v>22200</v>
      </c>
      <c r="P8" s="37">
        <v>20000</v>
      </c>
    </row>
    <row r="9" spans="1:16" ht="13.5" thickBot="1">
      <c r="A9" s="30" t="s">
        <v>59</v>
      </c>
      <c r="B9" s="36">
        <f t="shared" si="0"/>
        <v>13.194805194805195</v>
      </c>
      <c r="C9" s="64">
        <f>E9-'[1]Belgium'!E9</f>
        <v>-878</v>
      </c>
      <c r="D9" s="15">
        <f>F9-'[1]Belgium'!F9</f>
        <v>-261</v>
      </c>
      <c r="E9" s="149">
        <v>1093</v>
      </c>
      <c r="F9" s="109">
        <v>77</v>
      </c>
      <c r="G9" s="109">
        <v>5663</v>
      </c>
      <c r="H9" s="109">
        <v>1428</v>
      </c>
      <c r="I9" s="109">
        <v>2930</v>
      </c>
      <c r="J9" s="109">
        <v>2617</v>
      </c>
      <c r="K9" s="109">
        <v>3500</v>
      </c>
      <c r="L9" s="109">
        <v>8242</v>
      </c>
      <c r="M9" s="109">
        <v>4674</v>
      </c>
      <c r="N9" s="109">
        <v>15200</v>
      </c>
      <c r="O9" s="15">
        <v>15300</v>
      </c>
      <c r="P9" s="39">
        <v>1400</v>
      </c>
    </row>
    <row r="10" spans="1:16" ht="13.5" thickBot="1">
      <c r="A10" s="45" t="s">
        <v>23</v>
      </c>
      <c r="B10" s="41">
        <f t="shared" si="0"/>
        <v>-0.8413793103448276</v>
      </c>
      <c r="C10" s="65">
        <f>E10-'[1]Belgium'!E10</f>
        <v>-3151</v>
      </c>
      <c r="D10" s="42">
        <f>F10-'[1]Belgium'!F10</f>
        <v>-13423</v>
      </c>
      <c r="E10" s="137">
        <f>SUM(E2:E9)</f>
        <v>5106</v>
      </c>
      <c r="F10" s="42">
        <v>32190</v>
      </c>
      <c r="G10" s="42">
        <v>60375</v>
      </c>
      <c r="H10" s="42">
        <f>SUM(H2:H9)</f>
        <v>65646</v>
      </c>
      <c r="I10" s="42">
        <f>SUM(I2:I9)</f>
        <v>33733</v>
      </c>
      <c r="J10" s="42">
        <f>SUM(J2:J9)</f>
        <v>26067</v>
      </c>
      <c r="K10" s="42">
        <f aca="true" t="shared" si="1" ref="K10:P10">SUM(K2:K9)</f>
        <v>43210</v>
      </c>
      <c r="L10" s="42">
        <f t="shared" si="1"/>
        <v>44761</v>
      </c>
      <c r="M10" s="42">
        <f t="shared" si="1"/>
        <v>81942</v>
      </c>
      <c r="N10" s="42">
        <f t="shared" si="1"/>
        <v>117300</v>
      </c>
      <c r="O10" s="42">
        <f t="shared" si="1"/>
        <v>112900</v>
      </c>
      <c r="P10" s="43">
        <f t="shared" si="1"/>
        <v>91500</v>
      </c>
    </row>
    <row r="11" spans="1:14" s="9" customFormat="1" ht="12.75">
      <c r="A11" s="9" t="s">
        <v>103</v>
      </c>
      <c r="B11" s="44"/>
      <c r="C11" s="44"/>
      <c r="D11" s="44"/>
      <c r="E11" s="44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9" customFormat="1" ht="12.75">
      <c r="A12" s="9" t="s">
        <v>163</v>
      </c>
      <c r="B12" s="44"/>
      <c r="C12" s="44"/>
      <c r="D12" s="44"/>
      <c r="E12" s="44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9" customFormat="1" ht="13.5" thickBot="1">
      <c r="B13" s="44"/>
      <c r="C13" s="44"/>
      <c r="D13" s="44"/>
      <c r="E13" s="44"/>
      <c r="F13" s="12"/>
      <c r="G13" s="12"/>
      <c r="H13" s="12"/>
      <c r="I13" s="12"/>
      <c r="J13" s="12"/>
      <c r="K13" s="12"/>
      <c r="L13" s="12"/>
      <c r="M13" s="12"/>
      <c r="N13" s="12"/>
    </row>
    <row r="14" spans="1:16" s="16" customFormat="1" ht="13.5" thickBot="1">
      <c r="A14" s="31" t="s">
        <v>25</v>
      </c>
      <c r="B14" s="32" t="s">
        <v>176</v>
      </c>
      <c r="C14" s="62" t="s">
        <v>175</v>
      </c>
      <c r="D14" s="107" t="s">
        <v>168</v>
      </c>
      <c r="E14" s="147">
        <v>43221</v>
      </c>
      <c r="F14" s="33">
        <v>42856</v>
      </c>
      <c r="G14" s="33">
        <v>42491</v>
      </c>
      <c r="H14" s="33">
        <v>42125</v>
      </c>
      <c r="I14" s="33">
        <v>41760</v>
      </c>
      <c r="J14" s="33">
        <v>41395</v>
      </c>
      <c r="K14" s="33">
        <v>41030</v>
      </c>
      <c r="L14" s="33">
        <v>40664</v>
      </c>
      <c r="M14" s="33">
        <v>40299</v>
      </c>
      <c r="N14" s="33">
        <v>39934</v>
      </c>
      <c r="O14" s="33">
        <v>39569</v>
      </c>
      <c r="P14" s="34">
        <v>39203</v>
      </c>
    </row>
    <row r="15" spans="1:16" ht="12.75">
      <c r="A15" s="27" t="s">
        <v>7</v>
      </c>
      <c r="B15" s="35">
        <f>(E15-F15)/F15</f>
        <v>-0.49759229534510435</v>
      </c>
      <c r="C15" s="63">
        <f>E15-'[1]Belgium'!E15</f>
        <v>-27710</v>
      </c>
      <c r="D15" s="13">
        <f>F15-'[1]Belgium'!F15</f>
        <v>-32080</v>
      </c>
      <c r="E15" s="148">
        <v>12520</v>
      </c>
      <c r="F15" s="13">
        <v>24920</v>
      </c>
      <c r="G15" s="13">
        <v>48359</v>
      </c>
      <c r="H15" s="13">
        <v>24828</v>
      </c>
      <c r="I15" s="13">
        <v>11732</v>
      </c>
      <c r="J15" s="13">
        <v>13000</v>
      </c>
      <c r="K15" s="13">
        <v>15000</v>
      </c>
      <c r="L15" s="13">
        <v>30900</v>
      </c>
      <c r="M15" s="13">
        <v>22100</v>
      </c>
      <c r="N15" s="13">
        <v>0</v>
      </c>
      <c r="O15" s="13">
        <v>51300</v>
      </c>
      <c r="P15" s="37">
        <v>46100</v>
      </c>
    </row>
    <row r="16" spans="1:16" ht="12.75">
      <c r="A16" s="27" t="s">
        <v>101</v>
      </c>
      <c r="B16" s="35">
        <f>(E16-F16)/F16</f>
        <v>-1</v>
      </c>
      <c r="C16" s="63">
        <f>E16-'[1]Belgium'!E16</f>
        <v>0</v>
      </c>
      <c r="D16" s="13">
        <f>F16-'[1]Belgium'!F16</f>
        <v>-16</v>
      </c>
      <c r="E16" s="148">
        <v>0</v>
      </c>
      <c r="F16" s="13">
        <v>9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37">
        <v>400</v>
      </c>
    </row>
    <row r="17" spans="1:16" ht="12.75">
      <c r="A17" s="27" t="s">
        <v>166</v>
      </c>
      <c r="B17" s="35"/>
      <c r="C17" s="63">
        <f>E17-'[1]Belgium'!E17</f>
        <v>0</v>
      </c>
      <c r="D17" s="13">
        <f>F17-'[1]Belgium'!F17</f>
        <v>0</v>
      </c>
      <c r="E17" s="148">
        <v>0</v>
      </c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37"/>
    </row>
    <row r="18" spans="1:16" ht="13.5" thickBot="1">
      <c r="A18" s="38" t="s">
        <v>6</v>
      </c>
      <c r="B18" s="36"/>
      <c r="C18" s="64">
        <f>E18-'[1]Belgium'!E18</f>
        <v>-64</v>
      </c>
      <c r="D18" s="15">
        <f>F18-'[1]Belgium'!F18</f>
        <v>0</v>
      </c>
      <c r="E18" s="149">
        <v>0</v>
      </c>
      <c r="F18" s="15">
        <v>0</v>
      </c>
      <c r="G18" s="15">
        <v>0</v>
      </c>
      <c r="H18" s="15">
        <v>331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9">
        <v>500</v>
      </c>
    </row>
    <row r="19" spans="1:16" ht="13.5" thickBot="1">
      <c r="A19" s="40" t="s">
        <v>23</v>
      </c>
      <c r="B19" s="41">
        <f>(E19-F19)/F19</f>
        <v>-0.4977736772433712</v>
      </c>
      <c r="C19" s="65">
        <f>E19-'[1]Belgium'!E19</f>
        <v>-27774</v>
      </c>
      <c r="D19" s="42">
        <f>F19-'[1]Belgium'!F19</f>
        <v>-32096</v>
      </c>
      <c r="E19" s="137">
        <f>SUM(E15:E18)</f>
        <v>12520</v>
      </c>
      <c r="F19" s="42">
        <v>24929</v>
      </c>
      <c r="G19" s="42">
        <v>48359</v>
      </c>
      <c r="H19" s="42">
        <f>SUM(H15:H18)</f>
        <v>25159</v>
      </c>
      <c r="I19" s="42">
        <f>SUM(I15:I18)</f>
        <v>11732</v>
      </c>
      <c r="J19" s="42">
        <f>SUM(J15:J18)</f>
        <v>13000</v>
      </c>
      <c r="K19" s="42">
        <f aca="true" t="shared" si="2" ref="K19:P19">SUM(K15:K18)</f>
        <v>15000</v>
      </c>
      <c r="L19" s="42">
        <f t="shared" si="2"/>
        <v>30900</v>
      </c>
      <c r="M19" s="42">
        <f t="shared" si="2"/>
        <v>22100</v>
      </c>
      <c r="N19" s="42">
        <f t="shared" si="2"/>
        <v>0</v>
      </c>
      <c r="O19" s="42">
        <f t="shared" si="2"/>
        <v>51300</v>
      </c>
      <c r="P19" s="43">
        <f t="shared" si="2"/>
        <v>47000</v>
      </c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6"/>
      <c r="P36" s="1"/>
      <c r="Q36" s="1"/>
    </row>
    <row r="37" spans="15:17" ht="18.75">
      <c r="O37" s="7"/>
      <c r="P37" s="2"/>
      <c r="Q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111" customWidth="1"/>
    <col min="4" max="4" width="11.57421875" style="112" bestFit="1" customWidth="1"/>
    <col min="5" max="5" width="11.57421875" style="112" customWidth="1"/>
    <col min="6" max="6" width="10.140625" style="112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27" t="s">
        <v>11</v>
      </c>
      <c r="B2" s="35">
        <f>(E2-F2)/F2</f>
        <v>-0.9158249158249159</v>
      </c>
      <c r="C2" s="117">
        <f>E2-'[1]Czech Republic'!E2</f>
        <v>-282</v>
      </c>
      <c r="D2" s="118">
        <f>F2-'[1]Czech Republic'!F2</f>
        <v>-357</v>
      </c>
      <c r="E2" s="151">
        <v>25</v>
      </c>
      <c r="F2" s="118">
        <v>297</v>
      </c>
      <c r="G2" s="13"/>
      <c r="H2" s="13"/>
      <c r="I2" s="13"/>
      <c r="J2" s="13"/>
      <c r="K2" s="13"/>
      <c r="L2" s="13"/>
      <c r="M2" s="13"/>
      <c r="N2" s="13"/>
      <c r="O2" s="13"/>
      <c r="P2" s="37"/>
    </row>
    <row r="3" spans="1:16" ht="12.75">
      <c r="A3" s="27" t="s">
        <v>9</v>
      </c>
      <c r="B3" s="35">
        <f>(E3-F3)/F3</f>
        <v>1.3048780487804879</v>
      </c>
      <c r="C3" s="117">
        <f>E3-'[1]Czech Republic'!E3</f>
        <v>-560</v>
      </c>
      <c r="D3" s="118">
        <f>F3-'[1]Czech Republic'!F3</f>
        <v>-351</v>
      </c>
      <c r="E3" s="151">
        <v>567</v>
      </c>
      <c r="F3" s="118">
        <v>246</v>
      </c>
      <c r="G3" s="13">
        <v>1028</v>
      </c>
      <c r="H3" s="13">
        <v>212</v>
      </c>
      <c r="I3" s="13">
        <v>273</v>
      </c>
      <c r="J3" s="13">
        <v>0</v>
      </c>
      <c r="K3" s="13">
        <v>10</v>
      </c>
      <c r="L3" s="13">
        <v>0</v>
      </c>
      <c r="M3" s="13">
        <v>0</v>
      </c>
      <c r="N3" s="13">
        <v>14</v>
      </c>
      <c r="O3" s="13">
        <v>0</v>
      </c>
      <c r="P3" s="37">
        <v>10</v>
      </c>
    </row>
    <row r="4" spans="1:16" ht="12.75">
      <c r="A4" s="27" t="s">
        <v>14</v>
      </c>
      <c r="B4" s="35">
        <f aca="true" t="shared" si="0" ref="B4:B12">(E4-F4)/F4</f>
        <v>3.1923076923076925</v>
      </c>
      <c r="C4" s="117">
        <f>E4-'[1]Czech Republic'!E4</f>
        <v>-78</v>
      </c>
      <c r="D4" s="118">
        <f>F4-'[1]Czech Republic'!F4</f>
        <v>-41</v>
      </c>
      <c r="E4" s="151">
        <v>218</v>
      </c>
      <c r="F4" s="118">
        <v>52</v>
      </c>
      <c r="G4" s="13">
        <v>191</v>
      </c>
      <c r="H4" s="13">
        <v>50</v>
      </c>
      <c r="I4" s="13">
        <v>6</v>
      </c>
      <c r="J4" s="13">
        <v>89</v>
      </c>
      <c r="K4" s="13">
        <v>22</v>
      </c>
      <c r="L4" s="13">
        <v>10</v>
      </c>
      <c r="M4" s="13">
        <v>16</v>
      </c>
      <c r="N4" s="13">
        <v>309</v>
      </c>
      <c r="O4" s="13">
        <v>70</v>
      </c>
      <c r="P4" s="37">
        <v>145</v>
      </c>
    </row>
    <row r="5" spans="1:16" ht="12.75">
      <c r="A5" s="27" t="s">
        <v>3</v>
      </c>
      <c r="B5" s="35">
        <f t="shared" si="0"/>
        <v>0.27791336180597925</v>
      </c>
      <c r="C5" s="117">
        <f>E5-'[1]Czech Republic'!E5</f>
        <v>-1906</v>
      </c>
      <c r="D5" s="118">
        <f>F5-'[1]Czech Republic'!F5</f>
        <v>-1619</v>
      </c>
      <c r="E5" s="151">
        <v>4189</v>
      </c>
      <c r="F5" s="118">
        <v>3278</v>
      </c>
      <c r="G5" s="13">
        <v>5182</v>
      </c>
      <c r="H5" s="13">
        <v>3650</v>
      </c>
      <c r="I5" s="13">
        <v>3476</v>
      </c>
      <c r="J5" s="13">
        <v>1747</v>
      </c>
      <c r="K5" s="13">
        <v>1654</v>
      </c>
      <c r="L5" s="13">
        <v>1133</v>
      </c>
      <c r="M5" s="13">
        <v>2459</v>
      </c>
      <c r="N5" s="13">
        <v>2480</v>
      </c>
      <c r="O5" s="13">
        <v>1487</v>
      </c>
      <c r="P5" s="37">
        <v>1053</v>
      </c>
    </row>
    <row r="6" spans="1:16" ht="12.75">
      <c r="A6" s="27" t="s">
        <v>10</v>
      </c>
      <c r="B6" s="35">
        <f t="shared" si="0"/>
        <v>-0.07497962510187449</v>
      </c>
      <c r="C6" s="117">
        <f>E6-'[1]Czech Republic'!E6</f>
        <v>-1684</v>
      </c>
      <c r="D6" s="118">
        <f>F6-'[1]Czech Republic'!F6</f>
        <v>-655</v>
      </c>
      <c r="E6" s="151">
        <v>1135</v>
      </c>
      <c r="F6" s="118">
        <v>1227</v>
      </c>
      <c r="G6" s="13">
        <v>4284</v>
      </c>
      <c r="H6" s="13">
        <v>1761</v>
      </c>
      <c r="I6" s="13">
        <v>2862</v>
      </c>
      <c r="J6" s="13">
        <v>3433</v>
      </c>
      <c r="K6" s="13">
        <v>630</v>
      </c>
      <c r="L6" s="13">
        <v>1833</v>
      </c>
      <c r="M6" s="13">
        <v>6506</v>
      </c>
      <c r="N6" s="13">
        <v>5018</v>
      </c>
      <c r="O6" s="13">
        <v>1485</v>
      </c>
      <c r="P6" s="37">
        <v>5247</v>
      </c>
    </row>
    <row r="7" spans="1:16" ht="12.75">
      <c r="A7" s="27" t="s">
        <v>27</v>
      </c>
      <c r="B7" s="35">
        <f t="shared" si="0"/>
        <v>-0.7536549707602339</v>
      </c>
      <c r="C7" s="117">
        <f>E7-'[1]Czech Republic'!E7</f>
        <v>-449</v>
      </c>
      <c r="D7" s="118">
        <f>F7-'[1]Czech Republic'!F7</f>
        <v>-89</v>
      </c>
      <c r="E7" s="151">
        <v>337</v>
      </c>
      <c r="F7" s="118">
        <v>1368</v>
      </c>
      <c r="G7" s="13">
        <v>1338</v>
      </c>
      <c r="H7" s="13">
        <v>340</v>
      </c>
      <c r="I7" s="13">
        <v>1295</v>
      </c>
      <c r="J7" s="13">
        <v>272</v>
      </c>
      <c r="K7" s="13">
        <v>192</v>
      </c>
      <c r="L7" s="13">
        <v>300</v>
      </c>
      <c r="M7" s="13">
        <v>361</v>
      </c>
      <c r="N7" s="13">
        <v>635</v>
      </c>
      <c r="O7" s="13">
        <v>95</v>
      </c>
      <c r="P7" s="37">
        <v>430</v>
      </c>
    </row>
    <row r="8" spans="1:16" ht="12.75">
      <c r="A8" s="27" t="s">
        <v>19</v>
      </c>
      <c r="B8" s="35"/>
      <c r="C8" s="117">
        <f>E8-'[1]Czech Republic'!E8</f>
        <v>-78</v>
      </c>
      <c r="D8" s="118">
        <f>F8-'[1]Czech Republic'!F8</f>
        <v>-48</v>
      </c>
      <c r="E8" s="151">
        <v>428</v>
      </c>
      <c r="F8" s="118">
        <v>0</v>
      </c>
      <c r="G8" s="13">
        <v>214</v>
      </c>
      <c r="H8" s="13">
        <v>0</v>
      </c>
      <c r="I8" s="13">
        <v>15</v>
      </c>
      <c r="J8" s="13">
        <v>54</v>
      </c>
      <c r="K8" s="13">
        <v>20</v>
      </c>
      <c r="L8" s="13">
        <v>36</v>
      </c>
      <c r="M8" s="13">
        <v>23</v>
      </c>
      <c r="N8" s="13">
        <v>0</v>
      </c>
      <c r="O8" s="13">
        <v>0</v>
      </c>
      <c r="P8" s="37">
        <v>0</v>
      </c>
    </row>
    <row r="9" spans="1:16" ht="12.75">
      <c r="A9" s="53" t="s">
        <v>90</v>
      </c>
      <c r="B9" s="35">
        <f t="shared" si="0"/>
        <v>-0.5053763440860215</v>
      </c>
      <c r="C9" s="117">
        <f>E9-'[1]Czech Republic'!E9</f>
        <v>-81</v>
      </c>
      <c r="D9" s="118">
        <f>F9-'[1]Czech Republic'!F9</f>
        <v>-275</v>
      </c>
      <c r="E9" s="151">
        <v>46</v>
      </c>
      <c r="F9" s="118">
        <v>93</v>
      </c>
      <c r="G9" s="13">
        <v>458</v>
      </c>
      <c r="H9" s="13">
        <v>204</v>
      </c>
      <c r="I9" s="13">
        <v>55</v>
      </c>
      <c r="J9" s="13">
        <v>28</v>
      </c>
      <c r="K9" s="13">
        <v>104</v>
      </c>
      <c r="L9" s="13">
        <v>19</v>
      </c>
      <c r="M9" s="13">
        <v>44</v>
      </c>
      <c r="N9" s="13">
        <v>30</v>
      </c>
      <c r="O9" s="13">
        <v>36</v>
      </c>
      <c r="P9" s="37">
        <v>122</v>
      </c>
    </row>
    <row r="10" spans="1:16" ht="12.75">
      <c r="A10" s="27" t="s">
        <v>35</v>
      </c>
      <c r="B10" s="35"/>
      <c r="C10" s="117">
        <f>E10-'[1]Czech Republic'!E10</f>
        <v>0</v>
      </c>
      <c r="D10" s="118">
        <f>F10-'[1]Czech Republic'!F10</f>
        <v>0</v>
      </c>
      <c r="E10" s="151">
        <v>0</v>
      </c>
      <c r="F10" s="11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37">
        <v>0</v>
      </c>
    </row>
    <row r="11" spans="1:16" ht="13.5" thickBot="1">
      <c r="A11" s="30" t="s">
        <v>59</v>
      </c>
      <c r="B11" s="36">
        <f t="shared" si="0"/>
        <v>0.23433874709976799</v>
      </c>
      <c r="C11" s="119">
        <f>E11-'[1]Czech Republic'!E11</f>
        <v>-357</v>
      </c>
      <c r="D11" s="120">
        <f>F11-'[1]Czech Republic'!F11</f>
        <v>-91</v>
      </c>
      <c r="E11" s="152">
        <v>532</v>
      </c>
      <c r="F11" s="154">
        <v>431</v>
      </c>
      <c r="G11" s="109">
        <v>968</v>
      </c>
      <c r="H11" s="109">
        <v>251</v>
      </c>
      <c r="I11" s="109">
        <v>365</v>
      </c>
      <c r="J11" s="109">
        <v>206</v>
      </c>
      <c r="K11" s="109">
        <v>147</v>
      </c>
      <c r="L11" s="109">
        <v>108</v>
      </c>
      <c r="M11" s="109">
        <v>78</v>
      </c>
      <c r="N11" s="109">
        <v>112</v>
      </c>
      <c r="O11" s="15">
        <v>105</v>
      </c>
      <c r="P11" s="39">
        <v>673</v>
      </c>
    </row>
    <row r="12" spans="1:16" ht="13.5" thickBot="1">
      <c r="A12" s="45" t="s">
        <v>23</v>
      </c>
      <c r="B12" s="41">
        <f t="shared" si="0"/>
        <v>0.06936498855835241</v>
      </c>
      <c r="C12" s="121">
        <f>E12-'[1]Czech Republic'!E12</f>
        <v>-5475</v>
      </c>
      <c r="D12" s="122">
        <f>F12-'[1]Czech Republic'!F12</f>
        <v>-3526</v>
      </c>
      <c r="E12" s="153">
        <f>SUM(E2:E11)</f>
        <v>7477</v>
      </c>
      <c r="F12" s="122">
        <f>SUM(F2:F11)</f>
        <v>6992</v>
      </c>
      <c r="G12" s="42">
        <f>SUM(G3:G11)</f>
        <v>13663</v>
      </c>
      <c r="H12" s="42">
        <f>SUM(H3:H11)</f>
        <v>6468</v>
      </c>
      <c r="I12" s="42">
        <f>SUM(I3:I11)</f>
        <v>8347</v>
      </c>
      <c r="J12" s="42">
        <f>SUM(J3:J11)</f>
        <v>5829</v>
      </c>
      <c r="K12" s="42">
        <f aca="true" t="shared" si="1" ref="K12:P12">SUM(K3:K11)</f>
        <v>2779</v>
      </c>
      <c r="L12" s="42">
        <f t="shared" si="1"/>
        <v>3439</v>
      </c>
      <c r="M12" s="42">
        <f t="shared" si="1"/>
        <v>9487</v>
      </c>
      <c r="N12" s="42">
        <f t="shared" si="1"/>
        <v>8598</v>
      </c>
      <c r="O12" s="42">
        <f t="shared" si="1"/>
        <v>3278</v>
      </c>
      <c r="P12" s="43">
        <f t="shared" si="1"/>
        <v>7680</v>
      </c>
    </row>
    <row r="13" spans="2:14" s="9" customFormat="1" ht="12.75">
      <c r="B13" s="44"/>
      <c r="C13" s="110"/>
      <c r="D13" s="110"/>
      <c r="E13" s="110"/>
      <c r="F13" s="110"/>
      <c r="G13" s="12"/>
      <c r="H13" s="12"/>
      <c r="I13" s="12"/>
      <c r="J13" s="12"/>
      <c r="K13" s="12"/>
      <c r="L13" s="12"/>
      <c r="M13" s="12"/>
      <c r="N13" s="12"/>
    </row>
    <row r="14" ht="13.5" thickBot="1"/>
    <row r="15" spans="1:16" ht="13.5" thickBot="1">
      <c r="A15" s="67" t="s">
        <v>25</v>
      </c>
      <c r="B15" s="32" t="s">
        <v>176</v>
      </c>
      <c r="C15" s="62" t="s">
        <v>175</v>
      </c>
      <c r="D15" s="107" t="s">
        <v>168</v>
      </c>
      <c r="E15" s="147">
        <v>43221</v>
      </c>
      <c r="F15" s="33">
        <v>42856</v>
      </c>
      <c r="G15" s="33">
        <v>42491</v>
      </c>
      <c r="H15" s="33">
        <v>42125</v>
      </c>
      <c r="I15" s="33">
        <v>41760</v>
      </c>
      <c r="J15" s="33">
        <v>41395</v>
      </c>
      <c r="K15" s="33">
        <v>41030</v>
      </c>
      <c r="L15" s="33">
        <v>40664</v>
      </c>
      <c r="M15" s="33">
        <v>40299</v>
      </c>
      <c r="N15" s="33">
        <v>39934</v>
      </c>
      <c r="O15" s="33">
        <v>39569</v>
      </c>
      <c r="P15" s="34">
        <v>39203</v>
      </c>
    </row>
    <row r="16" spans="1:16" ht="12.75">
      <c r="A16" s="69" t="s">
        <v>7</v>
      </c>
      <c r="B16" s="70">
        <f>(E16-F16)/F16</f>
        <v>0.6216216216216216</v>
      </c>
      <c r="C16" s="99">
        <f>E16-'[1]Czech Republic'!E16</f>
        <v>-245</v>
      </c>
      <c r="D16" s="95">
        <f>F16-'[1]Czech Republic'!F16</f>
        <v>-145</v>
      </c>
      <c r="E16" s="71">
        <v>600</v>
      </c>
      <c r="F16" s="95">
        <v>370</v>
      </c>
      <c r="G16" s="95">
        <v>950</v>
      </c>
      <c r="H16" s="95">
        <v>0</v>
      </c>
      <c r="I16" s="95">
        <v>564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7">
        <v>0</v>
      </c>
    </row>
    <row r="17" spans="1:16" ht="12.75">
      <c r="A17" s="69" t="s">
        <v>42</v>
      </c>
      <c r="B17" s="70"/>
      <c r="C17" s="99">
        <f>E17-'[1]Czech Republic'!E17</f>
        <v>0</v>
      </c>
      <c r="D17" s="95">
        <f>F17-'[1]Czech Republic'!F17</f>
        <v>0</v>
      </c>
      <c r="E17" s="71">
        <v>0</v>
      </c>
      <c r="F17" s="95">
        <v>0</v>
      </c>
      <c r="G17" s="95">
        <v>5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7">
        <v>0</v>
      </c>
    </row>
    <row r="18" spans="1:16" ht="12.75">
      <c r="A18" s="69" t="s">
        <v>160</v>
      </c>
      <c r="B18" s="70"/>
      <c r="C18" s="99">
        <f>E18-'[1]Czech Republic'!E18</f>
        <v>0</v>
      </c>
      <c r="D18" s="95">
        <f>F18-'[1]Czech Republic'!F18</f>
        <v>-3</v>
      </c>
      <c r="E18" s="71">
        <v>0</v>
      </c>
      <c r="F18" s="95">
        <v>0</v>
      </c>
      <c r="G18" s="95">
        <v>32</v>
      </c>
      <c r="H18" s="95">
        <v>0</v>
      </c>
      <c r="I18" s="95">
        <v>2</v>
      </c>
      <c r="J18" s="95"/>
      <c r="K18" s="95"/>
      <c r="L18" s="95"/>
      <c r="M18" s="95"/>
      <c r="N18" s="95"/>
      <c r="O18" s="95"/>
      <c r="P18" s="97"/>
    </row>
    <row r="19" spans="1:16" ht="12.75">
      <c r="A19" s="69" t="s">
        <v>161</v>
      </c>
      <c r="B19" s="70"/>
      <c r="C19" s="99">
        <f>E19-'[1]Czech Republic'!E19</f>
        <v>0</v>
      </c>
      <c r="D19" s="95">
        <f>F19-'[1]Czech Republic'!F19</f>
        <v>0</v>
      </c>
      <c r="E19" s="71">
        <v>0</v>
      </c>
      <c r="F19" s="95">
        <v>0</v>
      </c>
      <c r="G19" s="95">
        <v>0</v>
      </c>
      <c r="H19" s="95">
        <v>0</v>
      </c>
      <c r="I19" s="95">
        <v>0</v>
      </c>
      <c r="J19" s="95"/>
      <c r="K19" s="95"/>
      <c r="L19" s="95"/>
      <c r="M19" s="95"/>
      <c r="N19" s="95"/>
      <c r="O19" s="95"/>
      <c r="P19" s="97"/>
    </row>
    <row r="20" spans="1:17" ht="13.5" thickBot="1">
      <c r="A20" s="73" t="s">
        <v>6</v>
      </c>
      <c r="B20" s="70"/>
      <c r="C20" s="99">
        <f>E20-'[1]Czech Republic'!E20</f>
        <v>0</v>
      </c>
      <c r="D20" s="95">
        <f>F20-'[1]Czech Republic'!F20</f>
        <v>0</v>
      </c>
      <c r="E20" s="71">
        <v>0</v>
      </c>
      <c r="F20" s="96">
        <v>0</v>
      </c>
      <c r="G20" s="96">
        <v>14</v>
      </c>
      <c r="H20" s="96">
        <v>0</v>
      </c>
      <c r="I20" s="96">
        <v>1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8">
        <v>0</v>
      </c>
      <c r="Q20" s="1"/>
    </row>
    <row r="21" spans="1:17" ht="13.5" thickBot="1">
      <c r="A21" s="77" t="s">
        <v>93</v>
      </c>
      <c r="B21" s="78">
        <f>(E21-F21)/F21</f>
        <v>0.6216216216216216</v>
      </c>
      <c r="C21" s="116">
        <f>E21-'[1]Czech Republic'!E21</f>
        <v>-245</v>
      </c>
      <c r="D21" s="113">
        <f>F21-'[1]Czech Republic'!F21</f>
        <v>-148</v>
      </c>
      <c r="E21" s="79">
        <v>600</v>
      </c>
      <c r="F21" s="113">
        <f>SUM(F16:F20)</f>
        <v>370</v>
      </c>
      <c r="G21" s="113">
        <f>SUM(G16:G20)</f>
        <v>1001</v>
      </c>
      <c r="H21" s="113">
        <f>SUM(H16:H20)</f>
        <v>0</v>
      </c>
      <c r="I21" s="113">
        <f>SUM(I16:I20)</f>
        <v>567</v>
      </c>
      <c r="J21" s="113">
        <f>SUM(J16:J20)</f>
        <v>0</v>
      </c>
      <c r="K21" s="113">
        <f aca="true" t="shared" si="2" ref="K21:P21">SUM(K16:K20)</f>
        <v>0</v>
      </c>
      <c r="L21" s="113">
        <f t="shared" si="2"/>
        <v>0</v>
      </c>
      <c r="M21" s="113">
        <f t="shared" si="2"/>
        <v>0</v>
      </c>
      <c r="N21" s="113">
        <f t="shared" si="2"/>
        <v>0</v>
      </c>
      <c r="O21" s="114">
        <f t="shared" si="2"/>
        <v>0</v>
      </c>
      <c r="P21" s="115">
        <f t="shared" si="2"/>
        <v>0</v>
      </c>
      <c r="Q2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5" width="11.42187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2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33">
        <v>40299</v>
      </c>
      <c r="N1" s="33">
        <v>39934</v>
      </c>
      <c r="O1" s="33">
        <v>39569</v>
      </c>
      <c r="P1" s="34">
        <v>39203</v>
      </c>
    </row>
    <row r="2" spans="1:16" ht="12.75">
      <c r="A2" s="53" t="s">
        <v>4</v>
      </c>
      <c r="B2" s="60"/>
      <c r="C2" s="101">
        <f>E2-'[1]Denmark'!E2</f>
        <v>0</v>
      </c>
      <c r="D2" s="90">
        <f>F2-'[1]Denmark'!F2</f>
        <v>0</v>
      </c>
      <c r="E2" s="56"/>
      <c r="F2" s="90"/>
      <c r="G2" s="90"/>
      <c r="H2" s="90"/>
      <c r="I2" s="90"/>
      <c r="J2" s="90"/>
      <c r="K2" s="90"/>
      <c r="L2" s="90"/>
      <c r="M2" s="90"/>
      <c r="N2" s="90"/>
      <c r="O2" s="51"/>
      <c r="P2" s="81"/>
    </row>
    <row r="3" spans="1:16" ht="12.75">
      <c r="A3" s="53" t="s">
        <v>98</v>
      </c>
      <c r="B3" s="60">
        <f>(E3-F3)/F3</f>
        <v>-1</v>
      </c>
      <c r="C3" s="101">
        <f>E3-'[1]Denmark'!E3</f>
        <v>0</v>
      </c>
      <c r="D3" s="90">
        <f>F3-'[1]Denmark'!F3</f>
        <v>0</v>
      </c>
      <c r="E3" s="56">
        <v>0</v>
      </c>
      <c r="F3" s="90">
        <v>7</v>
      </c>
      <c r="G3" s="90">
        <v>68</v>
      </c>
      <c r="H3" s="90"/>
      <c r="I3" s="90">
        <v>0</v>
      </c>
      <c r="J3" s="90"/>
      <c r="K3" s="90"/>
      <c r="L3" s="90"/>
      <c r="M3" s="90">
        <v>10</v>
      </c>
      <c r="N3" s="90"/>
      <c r="O3" s="51"/>
      <c r="P3" s="81"/>
    </row>
    <row r="4" spans="1:16" ht="12.75">
      <c r="A4" s="53" t="s">
        <v>5</v>
      </c>
      <c r="B4" s="60"/>
      <c r="C4" s="101">
        <f>E4-'[1]Denmark'!E4</f>
        <v>0</v>
      </c>
      <c r="D4" s="90">
        <f>F4-'[1]Denmark'!F4</f>
        <v>0</v>
      </c>
      <c r="E4" s="56"/>
      <c r="F4" s="90"/>
      <c r="G4" s="90"/>
      <c r="H4" s="90"/>
      <c r="I4" s="90"/>
      <c r="J4" s="90"/>
      <c r="K4" s="90"/>
      <c r="L4" s="90"/>
      <c r="M4" s="90"/>
      <c r="N4" s="90"/>
      <c r="O4" s="51"/>
      <c r="P4" s="81"/>
    </row>
    <row r="5" spans="1:16" ht="12.75">
      <c r="A5" s="53" t="s">
        <v>2</v>
      </c>
      <c r="B5" s="60">
        <f>(E5-F5)/F5</f>
        <v>-1</v>
      </c>
      <c r="C5" s="101">
        <f>E5-'[1]Denmark'!E5</f>
        <v>-379</v>
      </c>
      <c r="D5" s="90">
        <f>F5-'[1]Denmark'!F5</f>
        <v>-587</v>
      </c>
      <c r="E5" s="56">
        <v>0</v>
      </c>
      <c r="F5" s="90">
        <v>60</v>
      </c>
      <c r="G5" s="90">
        <v>59</v>
      </c>
      <c r="H5" s="90">
        <v>0</v>
      </c>
      <c r="I5" s="90">
        <v>0</v>
      </c>
      <c r="J5" s="90"/>
      <c r="K5" s="90">
        <v>80</v>
      </c>
      <c r="L5" s="90"/>
      <c r="M5" s="90">
        <v>25</v>
      </c>
      <c r="N5" s="90">
        <v>33</v>
      </c>
      <c r="O5" s="51"/>
      <c r="P5" s="81"/>
    </row>
    <row r="6" spans="1:16" ht="12.75">
      <c r="A6" s="53" t="s">
        <v>12</v>
      </c>
      <c r="B6" s="60"/>
      <c r="C6" s="101">
        <f>E6-'[1]Denmark'!E6</f>
        <v>0</v>
      </c>
      <c r="D6" s="90">
        <f>F6-'[1]Denmark'!F6</f>
        <v>-3</v>
      </c>
      <c r="E6" s="56">
        <v>0</v>
      </c>
      <c r="F6" s="90">
        <v>0</v>
      </c>
      <c r="G6" s="90"/>
      <c r="H6" s="90"/>
      <c r="I6" s="90">
        <v>0</v>
      </c>
      <c r="J6" s="90"/>
      <c r="K6" s="90"/>
      <c r="L6" s="90"/>
      <c r="M6" s="90"/>
      <c r="N6" s="90"/>
      <c r="O6" s="51"/>
      <c r="P6" s="81"/>
    </row>
    <row r="7" spans="1:16" ht="12.75">
      <c r="A7" s="53" t="s">
        <v>9</v>
      </c>
      <c r="B7" s="60">
        <f>(E7-F7)/F7</f>
        <v>-1</v>
      </c>
      <c r="C7" s="101">
        <f>E7-'[1]Denmark'!E7</f>
        <v>0</v>
      </c>
      <c r="D7" s="90">
        <f>F7-'[1]Denmark'!F7</f>
        <v>-3</v>
      </c>
      <c r="E7" s="56">
        <v>0</v>
      </c>
      <c r="F7" s="90">
        <v>50</v>
      </c>
      <c r="G7" s="90">
        <v>0</v>
      </c>
      <c r="H7" s="90"/>
      <c r="I7" s="90"/>
      <c r="J7" s="90"/>
      <c r="K7" s="90"/>
      <c r="L7" s="90"/>
      <c r="M7" s="90"/>
      <c r="N7" s="90"/>
      <c r="O7" s="51"/>
      <c r="P7" s="81"/>
    </row>
    <row r="8" spans="1:16" ht="12.75">
      <c r="A8" s="53" t="s">
        <v>14</v>
      </c>
      <c r="B8" s="60"/>
      <c r="C8" s="101">
        <f>E8-'[1]Denmark'!E8</f>
        <v>0</v>
      </c>
      <c r="D8" s="90">
        <f>F8-'[1]Denmark'!F8</f>
        <v>0</v>
      </c>
      <c r="E8" s="56"/>
      <c r="F8" s="90"/>
      <c r="G8" s="90"/>
      <c r="H8" s="90"/>
      <c r="I8" s="90"/>
      <c r="J8" s="90"/>
      <c r="K8" s="90"/>
      <c r="L8" s="90"/>
      <c r="M8" s="90"/>
      <c r="N8" s="90">
        <v>12</v>
      </c>
      <c r="O8" s="51"/>
      <c r="P8" s="81"/>
    </row>
    <row r="9" spans="1:16" ht="12.75">
      <c r="A9" s="53" t="s">
        <v>15</v>
      </c>
      <c r="B9" s="60"/>
      <c r="C9" s="101">
        <f>E9-'[1]Denmark'!E9</f>
        <v>0</v>
      </c>
      <c r="D9" s="90">
        <f>F9-'[1]Denmark'!F9</f>
        <v>0</v>
      </c>
      <c r="E9" s="56"/>
      <c r="F9" s="90"/>
      <c r="G9" s="90"/>
      <c r="H9" s="90"/>
      <c r="I9" s="90"/>
      <c r="J9" s="90"/>
      <c r="K9" s="90"/>
      <c r="L9" s="90"/>
      <c r="M9" s="90"/>
      <c r="N9" s="90"/>
      <c r="O9" s="51"/>
      <c r="P9" s="81"/>
    </row>
    <row r="10" spans="1:17" ht="12.75">
      <c r="A10" s="53" t="s">
        <v>10</v>
      </c>
      <c r="B10" s="60"/>
      <c r="C10" s="101">
        <f>E10-'[1]Denmark'!E10</f>
        <v>0</v>
      </c>
      <c r="D10" s="90">
        <f>F10-'[1]Denmark'!F10</f>
        <v>0</v>
      </c>
      <c r="E10" s="56"/>
      <c r="F10" s="90"/>
      <c r="G10" s="90"/>
      <c r="H10" s="90"/>
      <c r="I10" s="90"/>
      <c r="J10" s="90"/>
      <c r="K10" s="90"/>
      <c r="L10" s="90"/>
      <c r="M10" s="90">
        <v>5</v>
      </c>
      <c r="N10" s="90"/>
      <c r="O10" s="51"/>
      <c r="P10" s="81"/>
      <c r="Q10" s="1"/>
    </row>
    <row r="11" spans="1:17" ht="12.75">
      <c r="A11" s="53" t="s">
        <v>100</v>
      </c>
      <c r="B11" s="60"/>
      <c r="C11" s="101">
        <f>E11-'[1]Denmark'!E11</f>
        <v>0</v>
      </c>
      <c r="D11" s="90">
        <f>F11-'[1]Denmark'!F11</f>
        <v>0</v>
      </c>
      <c r="E11" s="56"/>
      <c r="F11" s="90"/>
      <c r="G11" s="90"/>
      <c r="H11" s="90"/>
      <c r="I11" s="90"/>
      <c r="J11" s="90"/>
      <c r="K11" s="90"/>
      <c r="L11" s="90"/>
      <c r="M11" s="90"/>
      <c r="N11" s="90"/>
      <c r="O11" s="51"/>
      <c r="P11" s="81"/>
      <c r="Q11" s="1"/>
    </row>
    <row r="12" spans="1:17" ht="12.75">
      <c r="A12" s="53" t="s">
        <v>27</v>
      </c>
      <c r="B12" s="60">
        <f>(E12-F12)/F12</f>
        <v>-1</v>
      </c>
      <c r="C12" s="101">
        <f>E12-'[1]Denmark'!E12</f>
        <v>0</v>
      </c>
      <c r="D12" s="90">
        <f>F12-'[1]Denmark'!F12</f>
        <v>-10</v>
      </c>
      <c r="E12" s="56">
        <v>0</v>
      </c>
      <c r="F12" s="90">
        <v>5</v>
      </c>
      <c r="G12" s="90">
        <v>11</v>
      </c>
      <c r="H12" s="90">
        <v>25</v>
      </c>
      <c r="I12" s="90"/>
      <c r="J12" s="90"/>
      <c r="K12" s="90"/>
      <c r="L12" s="90"/>
      <c r="M12" s="90"/>
      <c r="N12" s="90"/>
      <c r="O12" s="51"/>
      <c r="P12" s="81"/>
      <c r="Q12" s="1"/>
    </row>
    <row r="13" spans="1:16" ht="12.75">
      <c r="A13" s="53" t="s">
        <v>26</v>
      </c>
      <c r="B13" s="60">
        <f>(E13-F13)/F13</f>
        <v>-1</v>
      </c>
      <c r="C13" s="101">
        <f>E13-'[1]Denmark'!E13</f>
        <v>-577</v>
      </c>
      <c r="D13" s="90">
        <f>F13-'[1]Denmark'!F13</f>
        <v>-600</v>
      </c>
      <c r="E13" s="56">
        <v>0</v>
      </c>
      <c r="F13" s="90">
        <v>1104</v>
      </c>
      <c r="G13" s="90">
        <v>1236</v>
      </c>
      <c r="H13" s="90">
        <v>90</v>
      </c>
      <c r="I13" s="90">
        <v>10</v>
      </c>
      <c r="J13" s="90">
        <v>25</v>
      </c>
      <c r="K13" s="90">
        <v>147</v>
      </c>
      <c r="L13" s="90"/>
      <c r="M13" s="90">
        <v>109</v>
      </c>
      <c r="N13" s="90">
        <v>291</v>
      </c>
      <c r="O13" s="51"/>
      <c r="P13" s="81"/>
    </row>
    <row r="14" spans="1:16" ht="12.75">
      <c r="A14" s="53" t="s">
        <v>99</v>
      </c>
      <c r="B14" s="60"/>
      <c r="C14" s="101">
        <f>E14-'[1]Denmark'!E14</f>
        <v>0</v>
      </c>
      <c r="D14" s="90">
        <f>F14-'[1]Denmark'!F14</f>
        <v>0</v>
      </c>
      <c r="E14" s="56"/>
      <c r="F14" s="90"/>
      <c r="G14" s="90"/>
      <c r="H14" s="90"/>
      <c r="I14" s="90"/>
      <c r="J14" s="90"/>
      <c r="K14" s="90"/>
      <c r="L14" s="90"/>
      <c r="M14" s="90"/>
      <c r="N14" s="90"/>
      <c r="O14" s="51"/>
      <c r="P14" s="81"/>
    </row>
    <row r="15" spans="1:16" ht="12.75">
      <c r="A15" s="53" t="s">
        <v>13</v>
      </c>
      <c r="B15" s="60"/>
      <c r="C15" s="101">
        <f>E15-'[1]Denmark'!E15</f>
        <v>0</v>
      </c>
      <c r="D15" s="90">
        <f>F15-'[1]Denmark'!F15</f>
        <v>0</v>
      </c>
      <c r="E15" s="56"/>
      <c r="F15" s="90"/>
      <c r="G15" s="90"/>
      <c r="H15" s="90"/>
      <c r="I15" s="90"/>
      <c r="J15" s="90"/>
      <c r="K15" s="90"/>
      <c r="L15" s="90"/>
      <c r="M15" s="90"/>
      <c r="N15" s="90"/>
      <c r="O15" s="51"/>
      <c r="P15" s="81"/>
    </row>
    <row r="16" spans="1:16" ht="12.75">
      <c r="A16" s="53" t="s">
        <v>100</v>
      </c>
      <c r="B16" s="60"/>
      <c r="C16" s="101">
        <f>E16-'[1]Denmark'!E16</f>
        <v>0</v>
      </c>
      <c r="D16" s="90">
        <f>F16-'[1]Denmark'!F16</f>
        <v>0</v>
      </c>
      <c r="E16" s="56"/>
      <c r="F16" s="90"/>
      <c r="G16" s="90"/>
      <c r="H16" s="90"/>
      <c r="I16" s="90"/>
      <c r="J16" s="90"/>
      <c r="K16" s="90"/>
      <c r="L16" s="90"/>
      <c r="M16" s="90"/>
      <c r="N16" s="90"/>
      <c r="O16" s="51"/>
      <c r="P16" s="81"/>
    </row>
    <row r="17" spans="1:16" ht="12.75">
      <c r="A17" s="53" t="s">
        <v>88</v>
      </c>
      <c r="B17" s="60">
        <f>(E17-F17)/F17</f>
        <v>-1</v>
      </c>
      <c r="C17" s="101">
        <f>E17-'[1]Denmark'!E17</f>
        <v>0</v>
      </c>
      <c r="D17" s="90">
        <f>F17-'[1]Denmark'!F17</f>
        <v>-97</v>
      </c>
      <c r="E17" s="56">
        <v>0</v>
      </c>
      <c r="F17" s="90">
        <v>791</v>
      </c>
      <c r="G17" s="90">
        <v>720</v>
      </c>
      <c r="H17" s="90">
        <v>298</v>
      </c>
      <c r="I17" s="90">
        <v>30</v>
      </c>
      <c r="J17" s="90">
        <v>40</v>
      </c>
      <c r="K17" s="90">
        <v>285</v>
      </c>
      <c r="L17" s="90"/>
      <c r="M17" s="90">
        <v>20</v>
      </c>
      <c r="N17" s="90">
        <v>2</v>
      </c>
      <c r="O17" s="51"/>
      <c r="P17" s="81"/>
    </row>
    <row r="18" spans="1:16" ht="13.5" thickBot="1">
      <c r="A18" s="54" t="s">
        <v>6</v>
      </c>
      <c r="B18" s="61">
        <f>(E18-F18)/F18</f>
        <v>-1</v>
      </c>
      <c r="C18" s="101">
        <f>E18-'[1]Denmark'!E18</f>
        <v>-518</v>
      </c>
      <c r="D18" s="90">
        <f>F18-'[1]Denmark'!F18</f>
        <v>-27</v>
      </c>
      <c r="E18" s="56">
        <v>0</v>
      </c>
      <c r="F18" s="91">
        <v>30</v>
      </c>
      <c r="G18" s="91">
        <v>30</v>
      </c>
      <c r="H18" s="91">
        <v>0</v>
      </c>
      <c r="I18" s="91">
        <v>0</v>
      </c>
      <c r="J18" s="91"/>
      <c r="K18" s="91"/>
      <c r="L18" s="91"/>
      <c r="M18" s="91">
        <v>12</v>
      </c>
      <c r="N18" s="91">
        <v>25</v>
      </c>
      <c r="O18" s="50"/>
      <c r="P18" s="82"/>
    </row>
    <row r="19" spans="1:16" ht="13.5" thickBot="1">
      <c r="A19" s="55" t="s">
        <v>93</v>
      </c>
      <c r="B19" s="105">
        <f>(E19-F19)/F19</f>
        <v>-1</v>
      </c>
      <c r="C19" s="87">
        <f>E19-'[1]Denmark'!E19</f>
        <v>-1474</v>
      </c>
      <c r="D19" s="123">
        <f>F19-'[1]Denmark'!F19</f>
        <v>-1327</v>
      </c>
      <c r="E19" s="58">
        <v>0</v>
      </c>
      <c r="F19" s="123">
        <f aca="true" t="shared" si="0" ref="F19:K19">SUM(F2:F18)</f>
        <v>2047</v>
      </c>
      <c r="G19" s="123">
        <f t="shared" si="0"/>
        <v>2124</v>
      </c>
      <c r="H19" s="123">
        <f t="shared" si="0"/>
        <v>413</v>
      </c>
      <c r="I19" s="123">
        <f t="shared" si="0"/>
        <v>40</v>
      </c>
      <c r="J19" s="123">
        <f t="shared" si="0"/>
        <v>65</v>
      </c>
      <c r="K19" s="123">
        <f t="shared" si="0"/>
        <v>512</v>
      </c>
      <c r="L19" s="123">
        <v>0</v>
      </c>
      <c r="M19" s="123">
        <f>SUM(M2:M18)</f>
        <v>181</v>
      </c>
      <c r="N19" s="123">
        <f>SUM(N2:N18)</f>
        <v>363</v>
      </c>
      <c r="O19" s="59">
        <f>SUM(O2:O18)</f>
        <v>0</v>
      </c>
      <c r="P19" s="43">
        <f>SUM(P2:P18)</f>
        <v>0</v>
      </c>
    </row>
    <row r="21" spans="2:16" ht="13.5" thickBot="1">
      <c r="B21" s="3"/>
      <c r="C21" s="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3"/>
      <c r="P21" s="3"/>
    </row>
    <row r="22" spans="1:16" s="68" customFormat="1" ht="13.5" thickBot="1">
      <c r="A22" s="67" t="s">
        <v>122</v>
      </c>
      <c r="B22" s="32" t="s">
        <v>176</v>
      </c>
      <c r="C22" s="62" t="s">
        <v>177</v>
      </c>
      <c r="D22" s="107" t="s">
        <v>168</v>
      </c>
      <c r="E22" s="147">
        <v>43221</v>
      </c>
      <c r="F22" s="33">
        <v>42856</v>
      </c>
      <c r="G22" s="33">
        <v>42491</v>
      </c>
      <c r="H22" s="33">
        <v>42125</v>
      </c>
      <c r="I22" s="33">
        <v>41760</v>
      </c>
      <c r="J22" s="33">
        <v>41395</v>
      </c>
      <c r="K22" s="33">
        <v>41030</v>
      </c>
      <c r="L22" s="33">
        <v>40664</v>
      </c>
      <c r="M22" s="33">
        <v>40299</v>
      </c>
      <c r="N22" s="33">
        <v>39934</v>
      </c>
      <c r="O22" s="33">
        <v>39569</v>
      </c>
      <c r="P22" s="34">
        <v>39203</v>
      </c>
    </row>
    <row r="23" spans="1:16" s="66" customFormat="1" ht="12.75">
      <c r="A23" s="69" t="s">
        <v>7</v>
      </c>
      <c r="B23" s="70"/>
      <c r="C23" s="99">
        <f>E23-'[1]Denmark'!E23</f>
        <v>0</v>
      </c>
      <c r="D23" s="95">
        <f>F23-'[1]Denmark'!F23</f>
        <v>0</v>
      </c>
      <c r="E23" s="71">
        <v>0</v>
      </c>
      <c r="F23" s="95"/>
      <c r="G23" s="95"/>
      <c r="H23" s="95"/>
      <c r="I23" s="95"/>
      <c r="J23" s="95"/>
      <c r="K23" s="95"/>
      <c r="L23" s="95"/>
      <c r="M23" s="95">
        <v>0</v>
      </c>
      <c r="N23" s="95">
        <f>SUM(Q23:R23)</f>
        <v>0</v>
      </c>
      <c r="O23" s="72">
        <f>B38</f>
        <v>0</v>
      </c>
      <c r="P23" s="83">
        <f>B60</f>
        <v>0</v>
      </c>
    </row>
    <row r="24" spans="1:16" s="66" customFormat="1" ht="12.75">
      <c r="A24" s="69" t="s">
        <v>159</v>
      </c>
      <c r="B24" s="70"/>
      <c r="C24" s="99">
        <f>E24-'[1]Denmark'!E24</f>
        <v>0</v>
      </c>
      <c r="D24" s="95">
        <f>F24-'[1]Denmark'!F24</f>
        <v>0</v>
      </c>
      <c r="E24" s="71">
        <v>0</v>
      </c>
      <c r="F24" s="95"/>
      <c r="G24" s="95"/>
      <c r="H24" s="95"/>
      <c r="I24" s="95"/>
      <c r="J24" s="95"/>
      <c r="K24" s="95"/>
      <c r="L24" s="95"/>
      <c r="M24" s="95"/>
      <c r="N24" s="95"/>
      <c r="O24" s="72"/>
      <c r="P24" s="83"/>
    </row>
    <row r="25" spans="1:16" s="66" customFormat="1" ht="13.5" thickBot="1">
      <c r="A25" s="73" t="s">
        <v>6</v>
      </c>
      <c r="B25" s="74"/>
      <c r="C25" s="99">
        <f>E25-'[1]Denmark'!E25</f>
        <v>0</v>
      </c>
      <c r="D25" s="95">
        <f>F25-'[1]Denmark'!F25</f>
        <v>0</v>
      </c>
      <c r="E25" s="71">
        <v>0</v>
      </c>
      <c r="F25" s="96"/>
      <c r="G25" s="96">
        <v>17</v>
      </c>
      <c r="H25" s="96"/>
      <c r="I25" s="96"/>
      <c r="J25" s="96"/>
      <c r="K25" s="96"/>
      <c r="L25" s="96"/>
      <c r="M25" s="96">
        <v>0</v>
      </c>
      <c r="N25" s="96">
        <f>SUM(Q25:R25)</f>
        <v>0</v>
      </c>
      <c r="O25" s="76">
        <v>0</v>
      </c>
      <c r="P25" s="84">
        <f>B69</f>
        <v>0</v>
      </c>
    </row>
    <row r="26" spans="1:16" s="66" customFormat="1" ht="13.5" thickBot="1">
      <c r="A26" s="77" t="s">
        <v>93</v>
      </c>
      <c r="B26" s="78"/>
      <c r="C26" s="116">
        <f>E26-'[1]Denmark'!E26</f>
        <v>0</v>
      </c>
      <c r="D26" s="113">
        <f>F26-'[1]Denmark'!F26</f>
        <v>0</v>
      </c>
      <c r="E26" s="79">
        <v>0</v>
      </c>
      <c r="F26" s="113">
        <v>0</v>
      </c>
      <c r="G26" s="113">
        <f>SUM(G23:G25)</f>
        <v>17</v>
      </c>
      <c r="H26" s="113">
        <f>SUM(H23:H25)</f>
        <v>0</v>
      </c>
      <c r="I26" s="113">
        <f>SUM(I23:I25)</f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f>SUM(N23:N25)</f>
        <v>0</v>
      </c>
      <c r="O26" s="80">
        <f>SUM(O23:O25)</f>
        <v>0</v>
      </c>
      <c r="P26" s="85">
        <f>SUM(P23:P25)</f>
        <v>0</v>
      </c>
    </row>
    <row r="27" spans="4:14" s="66" customFormat="1" ht="12.75"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s="66" customFormat="1" ht="12.75">
      <c r="A28" s="68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4:14" s="66" customFormat="1" ht="12.75"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4" width="11.57421875" style="9" bestFit="1" customWidth="1"/>
    <col min="5" max="5" width="11.57421875" style="9" customWidth="1"/>
    <col min="6" max="13" width="10.140625" style="9" bestFit="1" customWidth="1"/>
  </cols>
  <sheetData>
    <row r="1" spans="1:13" ht="13.5" thickBot="1">
      <c r="A1" s="52" t="s">
        <v>24</v>
      </c>
      <c r="B1" s="32" t="s">
        <v>176</v>
      </c>
      <c r="C1" s="62" t="s">
        <v>175</v>
      </c>
      <c r="D1" s="107" t="s">
        <v>168</v>
      </c>
      <c r="E1" s="147">
        <v>43221</v>
      </c>
      <c r="F1" s="33">
        <v>42856</v>
      </c>
      <c r="G1" s="33">
        <v>42491</v>
      </c>
      <c r="H1" s="33">
        <v>42125</v>
      </c>
      <c r="I1" s="33">
        <v>41760</v>
      </c>
      <c r="J1" s="33">
        <v>41395</v>
      </c>
      <c r="K1" s="33">
        <v>41030</v>
      </c>
      <c r="L1" s="33">
        <v>40664</v>
      </c>
      <c r="M1" s="49">
        <v>40299</v>
      </c>
    </row>
    <row r="2" spans="1:13" ht="12.75">
      <c r="A2" s="53" t="s">
        <v>121</v>
      </c>
      <c r="B2" s="60">
        <f>(E2-F2)/F2</f>
        <v>-0.9226844583987441</v>
      </c>
      <c r="C2" s="101">
        <f>F2-'[1]France'!E2</f>
        <v>1175</v>
      </c>
      <c r="D2" s="90">
        <f>F2-'[1]Germany'!F2</f>
        <v>-1203</v>
      </c>
      <c r="E2" s="56">
        <v>197</v>
      </c>
      <c r="F2" s="146">
        <v>2548</v>
      </c>
      <c r="G2" s="146">
        <v>2114</v>
      </c>
      <c r="H2" s="146">
        <v>2267</v>
      </c>
      <c r="I2" s="146">
        <v>6240</v>
      </c>
      <c r="J2" s="146">
        <v>1692</v>
      </c>
      <c r="K2" s="146">
        <v>4017</v>
      </c>
      <c r="L2" s="146">
        <v>1800</v>
      </c>
      <c r="M2" s="136">
        <v>1650</v>
      </c>
    </row>
    <row r="3" spans="1:13" ht="12.75">
      <c r="A3" s="53" t="s">
        <v>127</v>
      </c>
      <c r="B3" s="60">
        <f aca="true" t="shared" si="0" ref="B3:B26">(E3-F3)/F3</f>
        <v>-0.4461798776519589</v>
      </c>
      <c r="C3" s="101">
        <f>F3-'[1]France'!E3</f>
        <v>-461</v>
      </c>
      <c r="D3" s="90">
        <f>F3-'[1]Germany'!F3</f>
        <v>3702</v>
      </c>
      <c r="E3" s="56">
        <v>4255</v>
      </c>
      <c r="F3" s="146">
        <v>7683</v>
      </c>
      <c r="G3" s="146">
        <v>6783</v>
      </c>
      <c r="H3" s="146">
        <v>4774</v>
      </c>
      <c r="I3" s="146">
        <v>13153</v>
      </c>
      <c r="J3" s="146">
        <v>3050</v>
      </c>
      <c r="K3" s="146">
        <v>8030</v>
      </c>
      <c r="L3" s="146">
        <v>8287</v>
      </c>
      <c r="M3" s="136">
        <v>8695</v>
      </c>
    </row>
    <row r="4" spans="1:13" ht="12.75">
      <c r="A4" s="53" t="s">
        <v>4</v>
      </c>
      <c r="B4" s="60">
        <f t="shared" si="0"/>
        <v>2.219047619047619</v>
      </c>
      <c r="C4" s="101">
        <f>F4-'[1]France'!E4</f>
        <v>-11</v>
      </c>
      <c r="D4" s="90">
        <f>F4-'[1]Germany'!F4</f>
        <v>64</v>
      </c>
      <c r="E4" s="56">
        <v>338</v>
      </c>
      <c r="F4" s="90">
        <v>105</v>
      </c>
      <c r="G4" s="90">
        <v>18</v>
      </c>
      <c r="H4" s="90">
        <v>103</v>
      </c>
      <c r="I4" s="90">
        <v>195</v>
      </c>
      <c r="J4" s="90">
        <v>0</v>
      </c>
      <c r="K4" s="90">
        <v>846</v>
      </c>
      <c r="L4" s="90">
        <v>110</v>
      </c>
      <c r="M4" s="92">
        <v>110</v>
      </c>
    </row>
    <row r="5" spans="1:13" ht="12.75">
      <c r="A5" s="53" t="s">
        <v>11</v>
      </c>
      <c r="B5" s="60">
        <f t="shared" si="0"/>
        <v>-0.8205549470609712</v>
      </c>
      <c r="C5" s="101">
        <f>F5-'[1]France'!E5</f>
        <v>-1451</v>
      </c>
      <c r="D5" s="90">
        <f>F5-'[1]Germany'!F5</f>
        <v>-13029</v>
      </c>
      <c r="E5" s="56">
        <v>983</v>
      </c>
      <c r="F5" s="90">
        <v>5478</v>
      </c>
      <c r="G5" s="90">
        <v>4169</v>
      </c>
      <c r="H5" s="90">
        <v>3499</v>
      </c>
      <c r="I5" s="90">
        <v>10404</v>
      </c>
      <c r="J5" s="90">
        <v>1584</v>
      </c>
      <c r="K5" s="90">
        <v>10860</v>
      </c>
      <c r="L5" s="90">
        <v>5662</v>
      </c>
      <c r="M5" s="92">
        <v>12646</v>
      </c>
    </row>
    <row r="6" spans="1:13" ht="12.75">
      <c r="A6" s="53" t="s">
        <v>29</v>
      </c>
      <c r="B6" s="60"/>
      <c r="C6" s="101">
        <f>F6-'[1]France'!E6</f>
        <v>0</v>
      </c>
      <c r="D6" s="90">
        <f>F6-'[1]Germany'!F6</f>
        <v>-3503</v>
      </c>
      <c r="E6" s="56">
        <v>0</v>
      </c>
      <c r="F6" s="90">
        <v>0</v>
      </c>
      <c r="G6" s="90">
        <v>0</v>
      </c>
      <c r="H6" s="90">
        <v>0</v>
      </c>
      <c r="I6" s="90">
        <v>172</v>
      </c>
      <c r="J6" s="90">
        <v>29</v>
      </c>
      <c r="K6" s="90">
        <v>564</v>
      </c>
      <c r="L6" s="90">
        <v>648</v>
      </c>
      <c r="M6" s="92">
        <v>693</v>
      </c>
    </row>
    <row r="7" spans="1:13" ht="12.75">
      <c r="A7" s="53" t="s">
        <v>154</v>
      </c>
      <c r="B7" s="60">
        <f t="shared" si="0"/>
        <v>-0.35913591359135916</v>
      </c>
      <c r="C7" s="101">
        <f>F7-'[1]France'!E7</f>
        <v>-206</v>
      </c>
      <c r="D7" s="90">
        <f>F7-'[1]Germany'!F7</f>
        <v>-3254</v>
      </c>
      <c r="E7" s="56">
        <v>1424</v>
      </c>
      <c r="F7" s="90">
        <v>2222</v>
      </c>
      <c r="G7" s="90">
        <v>2116</v>
      </c>
      <c r="H7" s="90">
        <v>1784</v>
      </c>
      <c r="I7" s="90">
        <v>554</v>
      </c>
      <c r="J7" s="90">
        <v>858</v>
      </c>
      <c r="K7" s="90">
        <v>1082</v>
      </c>
      <c r="L7" s="90">
        <v>1210</v>
      </c>
      <c r="M7" s="92">
        <v>0</v>
      </c>
    </row>
    <row r="8" spans="1:13" ht="12.75">
      <c r="A8" s="53" t="s">
        <v>61</v>
      </c>
      <c r="B8" s="60">
        <f t="shared" si="0"/>
        <v>-0.39750592600226736</v>
      </c>
      <c r="C8" s="101">
        <f>F8-'[1]France'!E8</f>
        <v>-10171</v>
      </c>
      <c r="D8" s="90">
        <f>F8-'[1]Germany'!F8</f>
        <v>19040</v>
      </c>
      <c r="E8" s="56">
        <v>11692</v>
      </c>
      <c r="F8" s="90">
        <v>19406</v>
      </c>
      <c r="G8" s="90">
        <v>16969</v>
      </c>
      <c r="H8" s="90">
        <v>13389</v>
      </c>
      <c r="I8" s="90">
        <v>14424</v>
      </c>
      <c r="J8" s="90">
        <v>4566</v>
      </c>
      <c r="K8" s="90">
        <v>7956</v>
      </c>
      <c r="L8" s="90">
        <v>7612</v>
      </c>
      <c r="M8" s="92">
        <v>10692</v>
      </c>
    </row>
    <row r="9" spans="1:13" ht="12.75">
      <c r="A9" s="53" t="s">
        <v>2</v>
      </c>
      <c r="B9" s="60">
        <f t="shared" si="0"/>
        <v>-0.8961038961038961</v>
      </c>
      <c r="C9" s="101">
        <f>F9-'[1]France'!E9</f>
        <v>24</v>
      </c>
      <c r="D9" s="90">
        <f>F9-'[1]Germany'!F9</f>
        <v>-5910</v>
      </c>
      <c r="E9" s="56">
        <v>16</v>
      </c>
      <c r="F9" s="90">
        <v>154</v>
      </c>
      <c r="G9" s="90">
        <v>105</v>
      </c>
      <c r="H9" s="90">
        <v>152</v>
      </c>
      <c r="I9" s="90">
        <v>155</v>
      </c>
      <c r="J9" s="90">
        <v>150</v>
      </c>
      <c r="K9" s="90">
        <v>237</v>
      </c>
      <c r="L9" s="90">
        <v>62</v>
      </c>
      <c r="M9" s="92">
        <v>78</v>
      </c>
    </row>
    <row r="10" spans="1:13" ht="12.75">
      <c r="A10" s="53" t="s">
        <v>12</v>
      </c>
      <c r="B10" s="60">
        <f t="shared" si="0"/>
        <v>0.321011673151751</v>
      </c>
      <c r="C10" s="101">
        <f>F10-'[1]France'!E10</f>
        <v>-6755</v>
      </c>
      <c r="D10" s="90">
        <f>F10-'[1]Germany'!F10</f>
        <v>3084</v>
      </c>
      <c r="E10" s="56">
        <v>4074</v>
      </c>
      <c r="F10" s="90">
        <v>3084</v>
      </c>
      <c r="G10" s="90">
        <v>5401</v>
      </c>
      <c r="H10" s="90">
        <v>2184</v>
      </c>
      <c r="I10" s="90">
        <v>9145</v>
      </c>
      <c r="J10" s="90">
        <v>2717</v>
      </c>
      <c r="K10" s="90">
        <v>4267</v>
      </c>
      <c r="L10" s="90">
        <v>7465</v>
      </c>
      <c r="M10" s="92">
        <v>4133</v>
      </c>
    </row>
    <row r="11" spans="1:13" ht="12.75">
      <c r="A11" s="53" t="s">
        <v>9</v>
      </c>
      <c r="B11" s="60">
        <f t="shared" si="0"/>
        <v>-0.15182707153885744</v>
      </c>
      <c r="C11" s="101">
        <f>F11-'[1]France'!E11</f>
        <v>-6688</v>
      </c>
      <c r="D11" s="90">
        <f>F11-'[1]Germany'!F11</f>
        <v>1062</v>
      </c>
      <c r="E11" s="56">
        <v>8240</v>
      </c>
      <c r="F11" s="90">
        <v>9715</v>
      </c>
      <c r="G11" s="90">
        <v>5411</v>
      </c>
      <c r="H11" s="90">
        <v>8070</v>
      </c>
      <c r="I11" s="90">
        <v>7085</v>
      </c>
      <c r="J11" s="90">
        <v>3989</v>
      </c>
      <c r="K11" s="90">
        <v>7704</v>
      </c>
      <c r="L11" s="90">
        <v>7476</v>
      </c>
      <c r="M11" s="92">
        <v>3912</v>
      </c>
    </row>
    <row r="12" spans="1:13" ht="12.75">
      <c r="A12" s="53" t="s">
        <v>3</v>
      </c>
      <c r="B12" s="60">
        <f t="shared" si="0"/>
        <v>-0.2191273591422808</v>
      </c>
      <c r="C12" s="101">
        <f>F12-'[1]France'!E12</f>
        <v>358</v>
      </c>
      <c r="D12" s="90">
        <f>F12-'[1]Germany'!F12</f>
        <v>108567</v>
      </c>
      <c r="E12" s="56">
        <v>84777</v>
      </c>
      <c r="F12" s="90">
        <v>108567</v>
      </c>
      <c r="G12" s="90">
        <v>101961</v>
      </c>
      <c r="H12" s="90">
        <v>97868</v>
      </c>
      <c r="I12" s="90">
        <v>115686</v>
      </c>
      <c r="J12" s="90">
        <v>40242</v>
      </c>
      <c r="K12" s="90">
        <v>94089</v>
      </c>
      <c r="L12" s="90">
        <v>97979</v>
      </c>
      <c r="M12" s="92">
        <v>108187</v>
      </c>
    </row>
    <row r="13" spans="1:13" ht="12.75">
      <c r="A13" s="53" t="s">
        <v>138</v>
      </c>
      <c r="B13" s="60">
        <f t="shared" si="0"/>
        <v>-0.18855218855218855</v>
      </c>
      <c r="C13" s="101">
        <f>F13-'[1]France'!E13</f>
        <v>-311</v>
      </c>
      <c r="D13" s="90">
        <f>F13-'[1]Germany'!F13</f>
        <v>-20729</v>
      </c>
      <c r="E13" s="56">
        <v>482</v>
      </c>
      <c r="F13" s="90">
        <v>594</v>
      </c>
      <c r="G13" s="90">
        <v>566</v>
      </c>
      <c r="H13" s="90">
        <v>977</v>
      </c>
      <c r="I13" s="90">
        <v>1198</v>
      </c>
      <c r="J13" s="90">
        <v>832</v>
      </c>
      <c r="K13" s="90">
        <v>927</v>
      </c>
      <c r="L13" s="90">
        <v>1013</v>
      </c>
      <c r="M13" s="92">
        <v>1050</v>
      </c>
    </row>
    <row r="14" spans="1:13" ht="12.75">
      <c r="A14" s="53" t="s">
        <v>17</v>
      </c>
      <c r="B14" s="60">
        <f t="shared" si="0"/>
        <v>0.46511952052407834</v>
      </c>
      <c r="C14" s="101">
        <f>F14-'[1]France'!E14</f>
        <v>-18450</v>
      </c>
      <c r="D14" s="90">
        <f>F14-'[1]Germany'!F14</f>
        <v>-26613</v>
      </c>
      <c r="E14" s="56">
        <v>21023</v>
      </c>
      <c r="F14" s="90">
        <v>14349</v>
      </c>
      <c r="G14" s="90">
        <v>25001</v>
      </c>
      <c r="H14" s="90">
        <v>17464</v>
      </c>
      <c r="I14" s="90">
        <v>24194</v>
      </c>
      <c r="J14" s="90">
        <v>10352</v>
      </c>
      <c r="K14" s="90">
        <v>14381</v>
      </c>
      <c r="L14" s="90">
        <v>10114</v>
      </c>
      <c r="M14" s="92">
        <v>14999</v>
      </c>
    </row>
    <row r="15" spans="1:13" ht="12.75">
      <c r="A15" s="53" t="s">
        <v>130</v>
      </c>
      <c r="B15" s="60">
        <f t="shared" si="0"/>
        <v>-0.9083333333333333</v>
      </c>
      <c r="C15" s="101">
        <f>F15-'[1]France'!E15</f>
        <v>77</v>
      </c>
      <c r="D15" s="90">
        <f>F15-'[1]Germany'!F15</f>
        <v>-6330</v>
      </c>
      <c r="E15" s="56">
        <v>77</v>
      </c>
      <c r="F15" s="90">
        <v>840</v>
      </c>
      <c r="G15" s="90">
        <v>421</v>
      </c>
      <c r="H15" s="90">
        <v>1125</v>
      </c>
      <c r="I15" s="90">
        <v>1031</v>
      </c>
      <c r="J15" s="90">
        <v>754</v>
      </c>
      <c r="K15" s="90">
        <v>469</v>
      </c>
      <c r="L15" s="90">
        <v>563</v>
      </c>
      <c r="M15" s="92">
        <v>76</v>
      </c>
    </row>
    <row r="16" spans="1:14" ht="12.75">
      <c r="A16" s="53" t="s">
        <v>10</v>
      </c>
      <c r="B16" s="60">
        <f t="shared" si="0"/>
        <v>-0.5122448979591837</v>
      </c>
      <c r="C16" s="101">
        <f>F16-'[1]France'!E16</f>
        <v>144</v>
      </c>
      <c r="D16" s="90">
        <f>F16-'[1]Germany'!F16</f>
        <v>-43764</v>
      </c>
      <c r="E16" s="56">
        <v>239</v>
      </c>
      <c r="F16" s="90">
        <v>490</v>
      </c>
      <c r="G16" s="90">
        <v>488</v>
      </c>
      <c r="H16" s="90">
        <v>382</v>
      </c>
      <c r="I16" s="90">
        <v>757</v>
      </c>
      <c r="J16" s="90">
        <v>409</v>
      </c>
      <c r="K16" s="90">
        <v>1173</v>
      </c>
      <c r="L16" s="90">
        <v>927</v>
      </c>
      <c r="M16" s="92">
        <v>1570</v>
      </c>
      <c r="N16" s="1"/>
    </row>
    <row r="17" spans="1:14" ht="12.75">
      <c r="A17" s="53" t="s">
        <v>129</v>
      </c>
      <c r="B17" s="60">
        <f t="shared" si="0"/>
        <v>0.2826652785007808</v>
      </c>
      <c r="C17" s="101">
        <f>F17-'[1]France'!E17</f>
        <v>-4562</v>
      </c>
      <c r="D17" s="90">
        <f>F17-'[1]Germany'!F17</f>
        <v>1565</v>
      </c>
      <c r="E17" s="56">
        <v>2464</v>
      </c>
      <c r="F17" s="90">
        <v>1921</v>
      </c>
      <c r="G17" s="90">
        <v>1781</v>
      </c>
      <c r="H17" s="90">
        <v>1527</v>
      </c>
      <c r="I17" s="90">
        <v>1533</v>
      </c>
      <c r="J17" s="90">
        <v>678</v>
      </c>
      <c r="K17" s="90">
        <v>3056</v>
      </c>
      <c r="L17" s="90">
        <v>1424</v>
      </c>
      <c r="M17" s="92">
        <v>4369</v>
      </c>
      <c r="N17" s="1"/>
    </row>
    <row r="18" spans="1:14" ht="12.75">
      <c r="A18" s="53" t="s">
        <v>27</v>
      </c>
      <c r="B18" s="60">
        <f t="shared" si="0"/>
        <v>0.29430321024308775</v>
      </c>
      <c r="C18" s="101">
        <f>F18-'[1]France'!E18</f>
        <v>-1486</v>
      </c>
      <c r="D18" s="90">
        <f>F18-'[1]Germany'!F18</f>
        <v>5151</v>
      </c>
      <c r="E18" s="56">
        <v>6975</v>
      </c>
      <c r="F18" s="90">
        <v>5389</v>
      </c>
      <c r="G18" s="90">
        <v>5314</v>
      </c>
      <c r="H18" s="90">
        <v>2111</v>
      </c>
      <c r="I18" s="90">
        <v>4574</v>
      </c>
      <c r="J18" s="90">
        <v>1184</v>
      </c>
      <c r="K18" s="90">
        <v>4109</v>
      </c>
      <c r="L18" s="90">
        <v>4308</v>
      </c>
      <c r="M18" s="92">
        <v>6201</v>
      </c>
      <c r="N18" s="1"/>
    </row>
    <row r="19" spans="1:13" ht="12.75">
      <c r="A19" s="53" t="s">
        <v>128</v>
      </c>
      <c r="B19" s="60">
        <f t="shared" si="0"/>
        <v>-0.23728813559322035</v>
      </c>
      <c r="C19" s="101">
        <f>F19-'[1]France'!E19</f>
        <v>-1880</v>
      </c>
      <c r="D19" s="90">
        <f>F19-'[1]Germany'!F19</f>
        <v>-8305</v>
      </c>
      <c r="E19" s="56">
        <v>3105</v>
      </c>
      <c r="F19" s="90">
        <v>4071</v>
      </c>
      <c r="G19" s="90">
        <v>2550</v>
      </c>
      <c r="H19" s="90">
        <v>1834</v>
      </c>
      <c r="I19" s="90">
        <v>4344</v>
      </c>
      <c r="J19" s="90">
        <v>263</v>
      </c>
      <c r="K19" s="90">
        <v>1215</v>
      </c>
      <c r="L19" s="90">
        <v>2708</v>
      </c>
      <c r="M19" s="92">
        <v>2</v>
      </c>
    </row>
    <row r="20" spans="1:15" s="16" customFormat="1" ht="12.75">
      <c r="A20" s="53" t="s">
        <v>120</v>
      </c>
      <c r="B20" s="60"/>
      <c r="C20" s="101">
        <f>F20-'[1]France'!E20</f>
        <v>0</v>
      </c>
      <c r="D20" s="90">
        <f>F20-'[1]Germany'!F20</f>
        <v>-1847</v>
      </c>
      <c r="E20" s="56">
        <v>0</v>
      </c>
      <c r="F20" s="90">
        <v>0</v>
      </c>
      <c r="G20" s="90">
        <v>0</v>
      </c>
      <c r="H20" s="90">
        <v>0</v>
      </c>
      <c r="I20" s="90">
        <v>0</v>
      </c>
      <c r="J20" s="90">
        <v>3</v>
      </c>
      <c r="K20" s="90">
        <v>12</v>
      </c>
      <c r="L20" s="90">
        <v>36</v>
      </c>
      <c r="M20" s="92">
        <v>3521</v>
      </c>
      <c r="O20"/>
    </row>
    <row r="21" spans="1:13" ht="12.75">
      <c r="A21" s="53" t="s">
        <v>89</v>
      </c>
      <c r="B21" s="60">
        <f t="shared" si="0"/>
        <v>-0.5104104699583581</v>
      </c>
      <c r="C21" s="101">
        <f>F21-'[1]France'!E21</f>
        <v>-660</v>
      </c>
      <c r="D21" s="90">
        <f>F21-'[1]Germany'!F21</f>
        <v>-177187</v>
      </c>
      <c r="E21" s="56">
        <v>823</v>
      </c>
      <c r="F21" s="90">
        <v>1681</v>
      </c>
      <c r="G21" s="90">
        <v>2227</v>
      </c>
      <c r="H21" s="90">
        <v>1133</v>
      </c>
      <c r="I21" s="90">
        <v>6895</v>
      </c>
      <c r="J21" s="90">
        <v>661</v>
      </c>
      <c r="K21" s="90">
        <v>4778</v>
      </c>
      <c r="L21" s="90">
        <v>3287</v>
      </c>
      <c r="M21" s="92">
        <v>3359</v>
      </c>
    </row>
    <row r="22" spans="1:13" ht="12.75">
      <c r="A22" s="53" t="s">
        <v>116</v>
      </c>
      <c r="B22" s="60">
        <f t="shared" si="0"/>
        <v>1.7297297297297298</v>
      </c>
      <c r="C22" s="101">
        <f>F22-'[1]France'!E22</f>
        <v>-64</v>
      </c>
      <c r="D22" s="90">
        <f>F22-'[1]Germany'!F22</f>
        <v>37</v>
      </c>
      <c r="E22" s="56">
        <v>101</v>
      </c>
      <c r="F22" s="90">
        <v>37</v>
      </c>
      <c r="G22" s="90">
        <v>207</v>
      </c>
      <c r="H22" s="90">
        <v>31</v>
      </c>
      <c r="I22" s="90">
        <v>332</v>
      </c>
      <c r="J22" s="90">
        <v>24</v>
      </c>
      <c r="K22" s="90">
        <v>628</v>
      </c>
      <c r="L22" s="90">
        <v>29</v>
      </c>
      <c r="M22" s="92">
        <v>385</v>
      </c>
    </row>
    <row r="23" spans="1:13" ht="12.75">
      <c r="A23" s="53" t="s">
        <v>131</v>
      </c>
      <c r="B23" s="60">
        <f t="shared" si="0"/>
        <v>-0.3211359912616057</v>
      </c>
      <c r="C23" s="101">
        <f>F23-'[1]France'!E23</f>
        <v>173</v>
      </c>
      <c r="D23" s="90">
        <f>F23-'[1]Germany'!F23</f>
        <v>5493</v>
      </c>
      <c r="E23" s="56">
        <v>3729</v>
      </c>
      <c r="F23" s="90">
        <v>5493</v>
      </c>
      <c r="G23" s="90">
        <v>2616</v>
      </c>
      <c r="H23" s="90">
        <v>4442</v>
      </c>
      <c r="I23" s="90">
        <v>3763</v>
      </c>
      <c r="J23" s="90">
        <v>1781</v>
      </c>
      <c r="K23" s="90">
        <v>3591</v>
      </c>
      <c r="L23" s="90">
        <v>1077</v>
      </c>
      <c r="M23" s="92">
        <v>1035</v>
      </c>
    </row>
    <row r="24" spans="1:13" ht="12.75">
      <c r="A24" s="53" t="s">
        <v>126</v>
      </c>
      <c r="B24" s="60">
        <f t="shared" si="0"/>
        <v>-0.8111285266457681</v>
      </c>
      <c r="C24" s="101">
        <f>F24-'[1]France'!E24</f>
        <v>418</v>
      </c>
      <c r="D24" s="90">
        <f>F24-'[1]Germany'!F24</f>
        <v>-41550</v>
      </c>
      <c r="E24" s="56">
        <v>241</v>
      </c>
      <c r="F24" s="90">
        <v>1276</v>
      </c>
      <c r="G24" s="90">
        <v>535</v>
      </c>
      <c r="H24" s="90">
        <v>494</v>
      </c>
      <c r="I24" s="90">
        <v>1118</v>
      </c>
      <c r="J24" s="90">
        <v>0</v>
      </c>
      <c r="K24" s="90">
        <v>910</v>
      </c>
      <c r="L24" s="90">
        <v>408</v>
      </c>
      <c r="M24" s="92">
        <v>974</v>
      </c>
    </row>
    <row r="25" spans="1:13" ht="13.5" thickBot="1">
      <c r="A25" s="54" t="s">
        <v>6</v>
      </c>
      <c r="B25" s="61">
        <f t="shared" si="0"/>
        <v>-0.39441747572815533</v>
      </c>
      <c r="C25" s="102">
        <f>F25-'[1]France'!E25</f>
        <v>-987</v>
      </c>
      <c r="D25" s="91">
        <f>F25-'[1]Germany'!F25</f>
        <v>771</v>
      </c>
      <c r="E25" s="57">
        <v>499</v>
      </c>
      <c r="F25" s="91">
        <v>824</v>
      </c>
      <c r="G25" s="91">
        <v>630</v>
      </c>
      <c r="H25" s="91">
        <v>891</v>
      </c>
      <c r="I25" s="91">
        <v>2872</v>
      </c>
      <c r="J25" s="91">
        <v>2870</v>
      </c>
      <c r="K25" s="91">
        <v>1698</v>
      </c>
      <c r="L25" s="91">
        <v>3061</v>
      </c>
      <c r="M25" s="93">
        <v>5121</v>
      </c>
    </row>
    <row r="26" spans="1:13" ht="13.5" thickBot="1">
      <c r="A26" s="52" t="s">
        <v>93</v>
      </c>
      <c r="B26" s="105">
        <f t="shared" si="0"/>
        <v>-0.20504065289623177</v>
      </c>
      <c r="C26" s="121">
        <f>F26-'[1]France'!E26</f>
        <v>-51774</v>
      </c>
      <c r="D26" s="122">
        <f>F26-'[1]Germany'!F26</f>
        <v>195874</v>
      </c>
      <c r="E26" s="153">
        <f>SUM(E2:E25)</f>
        <v>155754</v>
      </c>
      <c r="F26" s="123">
        <f>SUM(F2:F25)</f>
        <v>195927</v>
      </c>
      <c r="G26" s="123">
        <f>SUM(G2:G25)</f>
        <v>187383</v>
      </c>
      <c r="H26" s="123">
        <f aca="true" t="shared" si="1" ref="H26:M26">SUM(H2:H25)</f>
        <v>166501</v>
      </c>
      <c r="I26" s="123">
        <f t="shared" si="1"/>
        <v>229824</v>
      </c>
      <c r="J26" s="123">
        <f t="shared" si="1"/>
        <v>78688</v>
      </c>
      <c r="K26" s="123">
        <f t="shared" si="1"/>
        <v>176599</v>
      </c>
      <c r="L26" s="123">
        <f t="shared" si="1"/>
        <v>167266</v>
      </c>
      <c r="M26" s="128">
        <f t="shared" si="1"/>
        <v>193458</v>
      </c>
    </row>
    <row r="28" spans="1:13" s="66" customFormat="1" ht="13.5" thickBot="1">
      <c r="A28" s="104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1:13" s="66" customFormat="1" ht="13.5" thickBot="1">
      <c r="A29" s="52" t="s">
        <v>25</v>
      </c>
      <c r="B29" s="32" t="s">
        <v>176</v>
      </c>
      <c r="C29" s="62" t="s">
        <v>175</v>
      </c>
      <c r="D29" s="107" t="s">
        <v>168</v>
      </c>
      <c r="E29" s="147">
        <v>43221</v>
      </c>
      <c r="F29" s="33">
        <v>42856</v>
      </c>
      <c r="G29" s="33">
        <v>42491</v>
      </c>
      <c r="H29" s="33">
        <v>42125</v>
      </c>
      <c r="I29" s="33">
        <v>41760</v>
      </c>
      <c r="J29" s="33">
        <v>41395</v>
      </c>
      <c r="K29" s="33">
        <v>41030</v>
      </c>
      <c r="L29" s="33">
        <v>40664</v>
      </c>
      <c r="M29" s="49">
        <v>40299</v>
      </c>
    </row>
    <row r="30" spans="1:13" ht="12.75">
      <c r="A30" s="69" t="s">
        <v>139</v>
      </c>
      <c r="B30" s="60">
        <f aca="true" t="shared" si="2" ref="B30:B38">(E30-F30)/F30</f>
        <v>0.7942857142857143</v>
      </c>
      <c r="C30" s="101">
        <f>F30-'[1]France'!E30</f>
        <v>-312</v>
      </c>
      <c r="D30" s="90">
        <f>F30-'[1]Germany'!F30</f>
        <v>175</v>
      </c>
      <c r="E30" s="56">
        <v>314</v>
      </c>
      <c r="F30" s="146">
        <v>175</v>
      </c>
      <c r="G30" s="9">
        <v>93</v>
      </c>
      <c r="H30" s="9">
        <v>644</v>
      </c>
      <c r="I30">
        <v>1664</v>
      </c>
      <c r="J30" s="9">
        <v>11</v>
      </c>
      <c r="K30">
        <v>1315</v>
      </c>
      <c r="L30" s="146"/>
      <c r="M30" s="136"/>
    </row>
    <row r="31" spans="1:13" ht="12.75">
      <c r="A31" s="69" t="s">
        <v>140</v>
      </c>
      <c r="B31" s="60"/>
      <c r="C31" s="101">
        <f>F31-'[1]France'!E31</f>
        <v>0</v>
      </c>
      <c r="D31" s="90">
        <f>F31-'[1]Germany'!F31</f>
        <v>0</v>
      </c>
      <c r="E31" s="56">
        <v>0</v>
      </c>
      <c r="F31" s="146"/>
      <c r="G31" s="146">
        <v>0</v>
      </c>
      <c r="H31" s="146"/>
      <c r="I31" s="146"/>
      <c r="J31" s="146"/>
      <c r="K31" s="146"/>
      <c r="L31" s="146"/>
      <c r="M31" s="136"/>
    </row>
    <row r="32" spans="1:13" ht="12.75">
      <c r="A32" s="69" t="s">
        <v>7</v>
      </c>
      <c r="B32" s="60">
        <f t="shared" si="2"/>
        <v>1.0444444444444445</v>
      </c>
      <c r="C32" s="101">
        <f>F32-'[1]France'!E32</f>
        <v>-550</v>
      </c>
      <c r="D32" s="90">
        <f>F32-'[1]Germany'!F32</f>
        <v>225</v>
      </c>
      <c r="E32" s="56">
        <v>460</v>
      </c>
      <c r="F32" s="90">
        <v>225</v>
      </c>
      <c r="G32" s="90">
        <v>124</v>
      </c>
      <c r="H32" s="90">
        <v>85</v>
      </c>
      <c r="I32" s="90">
        <v>46</v>
      </c>
      <c r="J32" s="90">
        <v>0</v>
      </c>
      <c r="K32" s="90">
        <v>739</v>
      </c>
      <c r="L32" s="90"/>
      <c r="M32" s="92"/>
    </row>
    <row r="33" spans="1:13" ht="12.75">
      <c r="A33" s="69" t="s">
        <v>94</v>
      </c>
      <c r="B33" s="60">
        <f t="shared" si="2"/>
        <v>4.222222222222222</v>
      </c>
      <c r="C33" s="101">
        <f>F33-'[1]France'!E33</f>
        <v>-105</v>
      </c>
      <c r="D33" s="90">
        <f>F33-'[1]Germany'!F33</f>
        <v>18</v>
      </c>
      <c r="E33" s="56">
        <v>94</v>
      </c>
      <c r="F33" s="146">
        <v>18</v>
      </c>
      <c r="G33" s="146">
        <v>56</v>
      </c>
      <c r="H33" s="146">
        <v>3</v>
      </c>
      <c r="I33" s="146">
        <v>6</v>
      </c>
      <c r="J33" s="146">
        <v>0</v>
      </c>
      <c r="K33" s="146">
        <v>39</v>
      </c>
      <c r="L33" s="90"/>
      <c r="M33" s="92"/>
    </row>
    <row r="34" spans="1:13" ht="12.75">
      <c r="A34" s="69" t="s">
        <v>141</v>
      </c>
      <c r="B34" s="60"/>
      <c r="C34" s="101">
        <f>F34-'[1]France'!E34</f>
        <v>0</v>
      </c>
      <c r="D34" s="90">
        <f>F34-'[1]Germany'!F34</f>
        <v>0</v>
      </c>
      <c r="E34" s="56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/>
      <c r="M34" s="92"/>
    </row>
    <row r="35" spans="1:13" ht="12.75">
      <c r="A35" s="69" t="s">
        <v>142</v>
      </c>
      <c r="B35" s="60">
        <f t="shared" si="2"/>
        <v>-1</v>
      </c>
      <c r="C35" s="101">
        <f>F35-'[1]France'!E35</f>
        <v>-62</v>
      </c>
      <c r="D35" s="90">
        <f>F35-'[1]Germany'!F35</f>
        <v>3</v>
      </c>
      <c r="E35" s="56">
        <v>0</v>
      </c>
      <c r="F35" s="90">
        <v>3</v>
      </c>
      <c r="G35" s="90">
        <v>0</v>
      </c>
      <c r="H35" s="90">
        <v>4</v>
      </c>
      <c r="I35" s="90">
        <v>11</v>
      </c>
      <c r="J35" s="90">
        <v>0</v>
      </c>
      <c r="K35" s="90">
        <v>0</v>
      </c>
      <c r="L35" s="90"/>
      <c r="M35" s="92"/>
    </row>
    <row r="36" spans="1:13" ht="12.75">
      <c r="A36" s="69" t="s">
        <v>143</v>
      </c>
      <c r="B36" s="60"/>
      <c r="C36" s="101">
        <f>F36-'[1]France'!E36</f>
        <v>0</v>
      </c>
      <c r="D36" s="90">
        <f>F36-'[1]Germany'!F36</f>
        <v>0</v>
      </c>
      <c r="E36" s="56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/>
      <c r="M36" s="92"/>
    </row>
    <row r="37" spans="1:13" ht="13.5" thickBot="1">
      <c r="A37" s="73" t="s">
        <v>6</v>
      </c>
      <c r="B37" s="61">
        <f t="shared" si="2"/>
        <v>-1</v>
      </c>
      <c r="C37" s="102">
        <f>F37-'[1]France'!E37</f>
        <v>19</v>
      </c>
      <c r="D37" s="91">
        <f>F37-'[1]Germany'!F37</f>
        <v>43</v>
      </c>
      <c r="E37" s="57">
        <v>0</v>
      </c>
      <c r="F37" s="91">
        <v>43</v>
      </c>
      <c r="G37" s="90">
        <v>2</v>
      </c>
      <c r="H37" s="90">
        <v>2</v>
      </c>
      <c r="I37" s="90">
        <v>87</v>
      </c>
      <c r="J37" s="90">
        <v>0</v>
      </c>
      <c r="K37" s="90">
        <v>1</v>
      </c>
      <c r="L37" s="90"/>
      <c r="M37" s="92"/>
    </row>
    <row r="38" spans="1:13" ht="13.5" thickBot="1">
      <c r="A38" s="52" t="s">
        <v>93</v>
      </c>
      <c r="B38" s="105">
        <f t="shared" si="2"/>
        <v>0.8706896551724138</v>
      </c>
      <c r="C38" s="121">
        <f>F38-'[1]France'!E38</f>
        <v>-1010</v>
      </c>
      <c r="D38" s="122">
        <f>F38-'[1]Germany'!F38</f>
        <v>464</v>
      </c>
      <c r="E38" s="153">
        <f>SUM(E30:E37)</f>
        <v>868</v>
      </c>
      <c r="F38" s="42">
        <f aca="true" t="shared" si="3" ref="F38:K38">SUM(F30:F37)</f>
        <v>464</v>
      </c>
      <c r="G38" s="123">
        <f t="shared" si="3"/>
        <v>275</v>
      </c>
      <c r="H38" s="123">
        <f t="shared" si="3"/>
        <v>738</v>
      </c>
      <c r="I38" s="123">
        <f t="shared" si="3"/>
        <v>1814</v>
      </c>
      <c r="J38" s="123">
        <f t="shared" si="3"/>
        <v>11</v>
      </c>
      <c r="K38" s="123">
        <f t="shared" si="3"/>
        <v>2094</v>
      </c>
      <c r="L38" s="123"/>
      <c r="M38" s="12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 van Doorn</dc:creator>
  <cp:keywords/>
  <dc:description/>
  <cp:lastModifiedBy>Helene Deruwe</cp:lastModifiedBy>
  <cp:lastPrinted>2016-06-07T13:55:02Z</cp:lastPrinted>
  <dcterms:created xsi:type="dcterms:W3CDTF">2006-12-13T13:34:27Z</dcterms:created>
  <dcterms:modified xsi:type="dcterms:W3CDTF">2018-05-15T13:54:23Z</dcterms:modified>
  <cp:category/>
  <cp:version/>
  <cp:contentType/>
  <cp:contentStatus/>
</cp:coreProperties>
</file>