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666" firstSheet="6" activeTab="15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nm.Print_Area" localSheetId="2">'EU - country'!$A$1:$Q$36</definedName>
    <definedName name="_xlnm.Print_Area" localSheetId="3">'EU - variety'!$A$1:$N$44</definedName>
  </definedNames>
  <calcPr fullCalcOnLoad="1"/>
</workbook>
</file>

<file path=xl/sharedStrings.xml><?xml version="1.0" encoding="utf-8"?>
<sst xmlns="http://schemas.openxmlformats.org/spreadsheetml/2006/main" count="521" uniqueCount="178">
  <si>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</si>
  <si>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</si>
  <si>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</si>
  <si>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</si>
  <si>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</si>
  <si>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</si>
  <si>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</si>
  <si>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</si>
  <si>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</si>
  <si>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</si>
  <si>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</si>
  <si>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</si>
  <si>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</si>
  <si>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</si>
  <si>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</si>
  <si>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</si>
  <si>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</si>
  <si>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</si>
  <si>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</si>
  <si>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</si>
  <si>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</si>
  <si>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</si>
  <si>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</si>
  <si>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</si>
  <si>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</si>
  <si>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</si>
  <si>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</si>
  <si>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</si>
  <si>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</si>
  <si>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</si>
  <si>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</si>
  <si>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</si>
  <si>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</si>
  <si>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</si>
  <si>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</si>
  <si>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</si>
  <si>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</si>
  <si>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</si>
  <si>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</si>
  <si>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</si>
  <si>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</si>
  <si>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</si>
  <si>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</si>
  <si>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</si>
  <si>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</si>
  <si>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</si>
  <si>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</si>
  <si>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</si>
  <si>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</si>
  <si>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</si>
  <si>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</si>
  <si>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</si>
  <si>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</si>
  <si>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</si>
  <si>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</si>
  <si>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</si>
  <si>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</si>
  <si>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</si>
  <si>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</si>
  <si>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</si>
  <si>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</si>
  <si>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</si>
  <si>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</si>
  <si>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</si>
  <si>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</si>
  <si>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</si>
  <si>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</si>
  <si>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</si>
  <si>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</si>
  <si>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</si>
  <si>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</si>
  <si>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</si>
  <si>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</si>
  <si>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</si>
  <si>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</si>
  <si>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</si>
  <si>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</si>
  <si>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</si>
  <si>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</si>
  <si>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</si>
  <si>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</si>
  <si>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</si>
  <si>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</si>
  <si>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</si>
  <si>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</si>
  <si>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</si>
  <si>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</si>
  <si>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</si>
  <si>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</si>
  <si>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</si>
  <si>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</si>
  <si>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</si>
  <si>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</si>
  <si>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</si>
  <si>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</si>
  <si>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</si>
  <si>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</si>
  <si>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</si>
  <si>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</si>
  <si>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</si>
  <si>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</si>
  <si>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</si>
  <si>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</si>
  <si>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</si>
  <si>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</si>
  <si>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</si>
  <si>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</si>
  <si>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</si>
  <si>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</si>
  <si>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</si>
  <si>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</si>
  <si>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</si>
  <si>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</si>
  <si>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</si>
  <si>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</si>
  <si>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</si>
  <si>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</si>
  <si>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</si>
  <si>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</si>
  <si>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</si>
  <si>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</si>
  <si>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</si>
  <si>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</si>
  <si>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</si>
  <si>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</si>
  <si>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</si>
  <si>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</si>
  <si>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</si>
  <si>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</si>
  <si>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</si>
  <si>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</si>
  <si>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</si>
  <si>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JANUARY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</si>
  <si>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</si>
  <si>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</si>
  <si>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</si>
  <si>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</si>
  <si>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</si>
  <si>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</si>
  <si>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</si>
  <si>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</si>
  <si>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</si>
  <si>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</si>
  <si>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</si>
  <si>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Evelina</t>
  </si>
  <si>
    <t>Choupette</t>
  </si>
  <si>
    <t>Portugal:</t>
  </si>
  <si>
    <t>ANP - Associação Nacional de Produtores de Pera Rocha</t>
  </si>
  <si>
    <t>Conconrde</t>
  </si>
  <si>
    <t>Doyenne du Comice</t>
  </si>
  <si>
    <t>Golden Delicius</t>
  </si>
  <si>
    <t>Rocha</t>
  </si>
  <si>
    <t>Portugal</t>
  </si>
  <si>
    <t xml:space="preserve">* Other new varieties: Ariane, Belgica, Cameo, Diwa, Evelina, Greenstar, Goldrush, Honey Crunch, Jazz, Junami, Kanzi, Kiku, Mairac, Rubens, Tentation (temptation), Wellant, ... </t>
  </si>
  <si>
    <t>Bohemica</t>
  </si>
  <si>
    <t>Lucasova</t>
  </si>
  <si>
    <t>AFRUCAT</t>
  </si>
  <si>
    <t>Ligol</t>
  </si>
  <si>
    <t>** From 12/2014 Cox's is included in others</t>
  </si>
  <si>
    <t>Cox**</t>
  </si>
  <si>
    <t>Honeycrisp</t>
  </si>
  <si>
    <t>* Rocha stocks are compared per two months, in this case to stocks of 1 November</t>
  </si>
  <si>
    <t>* Portugal: Rocha stocks are compared per two months, in this case to stocks of 1 November</t>
  </si>
  <si>
    <t>Durondeau</t>
  </si>
  <si>
    <t>Williams*</t>
  </si>
  <si>
    <t>*Separate category since 2015</t>
  </si>
  <si>
    <t>Portugal *</t>
  </si>
  <si>
    <t>Cripps Pink 1/2017 is an estimate for the moment</t>
  </si>
  <si>
    <t>Forelle</t>
  </si>
  <si>
    <t>*Stocks for Portugal are provided every two months, therefore these are compared to the stocks of November</t>
  </si>
  <si>
    <t>* figuers for 2017 are from mid-December</t>
  </si>
  <si>
    <t>United Kingdom**</t>
  </si>
  <si>
    <t>** As of the 2016/ 2017 season, the UK works with a different methodology, which is why the figures are not comparable.</t>
  </si>
  <si>
    <t>Moved 2018</t>
  </si>
  <si>
    <t>English Apples &amp; Pears/British Growers Assocation</t>
  </si>
  <si>
    <t>Overview Northern Hemisphere apple and pear stocks 2018-2019</t>
  </si>
  <si>
    <t>Moved 2019</t>
  </si>
  <si>
    <t>%2019/2018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</si>
</sst>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813]dddd\ 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[$-80C]dddd\ d\ mmmm\ yyyy"/>
    <numFmt numFmtId="193" formatCode="#,##0\ _€"/>
    <numFmt numFmtId="194" formatCode="_-* #,##0\ _€_-;\-* #,##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1" fontId="0" fillId="34" borderId="0" xfId="0" applyNumberFormat="1" applyFill="1" applyBorder="1" applyAlignment="1">
      <alignment/>
    </xf>
    <xf numFmtId="191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1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1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1" fontId="0" fillId="30" borderId="0" xfId="0" applyNumberFormat="1" applyFont="1" applyFill="1" applyBorder="1" applyAlignment="1">
      <alignment/>
    </xf>
    <xf numFmtId="191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14" fontId="1" fillId="0" borderId="14" xfId="57" applyNumberFormat="1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1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1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1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4" fontId="1" fillId="0" borderId="15" xfId="57" applyNumberFormat="1" applyFont="1" applyBorder="1" applyAlignment="1">
      <alignment horizontal="center"/>
      <protection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91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4" fontId="1" fillId="0" borderId="14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1" fillId="0" borderId="14" xfId="57" applyNumberFormat="1" applyFont="1" applyFill="1" applyBorder="1" applyAlignment="1">
      <alignment horizontal="center"/>
      <protection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37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1" fontId="1" fillId="30" borderId="10" xfId="57" applyNumberFormat="1" applyFont="1" applyFill="1" applyBorder="1">
      <alignment/>
      <protection/>
    </xf>
    <xf numFmtId="191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1" fontId="0" fillId="30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0" borderId="10" xfId="57" applyNumberFormat="1" applyFont="1" applyFill="1" applyBorder="1">
      <alignment/>
      <protection/>
    </xf>
    <xf numFmtId="3" fontId="0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5" xfId="57" applyNumberFormat="1" applyFont="1" applyFill="1" applyBorder="1">
      <alignment/>
      <protection/>
    </xf>
    <xf numFmtId="3" fontId="0" fillId="3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0" borderId="0" xfId="61" applyNumberFormat="1">
      <alignment/>
      <protection/>
    </xf>
    <xf numFmtId="3" fontId="0" fillId="0" borderId="15" xfId="57" applyNumberFormat="1" applyFont="1" applyFill="1" applyBorder="1">
      <alignment/>
      <protection/>
    </xf>
    <xf numFmtId="3" fontId="29" fillId="0" borderId="0" xfId="39" applyNumberFormat="1" applyFill="1" applyBorder="1" applyAlignment="1">
      <alignment/>
    </xf>
    <xf numFmtId="3" fontId="29" fillId="0" borderId="16" xfId="39" applyNumberForma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3" borderId="12" xfId="0" applyNumberFormat="1" applyFill="1" applyBorder="1" applyAlignment="1" quotePrefix="1">
      <alignment horizontal="left"/>
    </xf>
    <xf numFmtId="0" fontId="1" fillId="33" borderId="12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35" borderId="13" xfId="57" applyFont="1" applyFill="1" applyBorder="1" applyAlignment="1">
      <alignment horizontal="left"/>
      <protection/>
    </xf>
    <xf numFmtId="0" fontId="0" fillId="35" borderId="11" xfId="57" applyFont="1" applyFill="1" applyBorder="1" applyAlignment="1">
      <alignment horizontal="left"/>
      <protection/>
    </xf>
    <xf numFmtId="0" fontId="0" fillId="35" borderId="12" xfId="57" applyFont="1" applyFill="1" applyBorder="1" applyAlignment="1">
      <alignment horizontal="left"/>
      <protection/>
    </xf>
    <xf numFmtId="0" fontId="1" fillId="35" borderId="12" xfId="57" applyFont="1" applyFill="1" applyBorder="1" applyAlignment="1">
      <alignment horizontal="left"/>
      <protection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36" borderId="10" xfId="0" applyNumberFormat="1" applyFill="1" applyBorder="1" applyAlignment="1">
      <alignment/>
    </xf>
    <xf numFmtId="14" fontId="1" fillId="36" borderId="14" xfId="0" applyNumberFormat="1" applyFont="1" applyFill="1" applyBorder="1" applyAlignment="1">
      <alignment/>
    </xf>
    <xf numFmtId="3" fontId="1" fillId="36" borderId="10" xfId="57" applyNumberFormat="1" applyFont="1" applyFill="1" applyBorder="1">
      <alignment/>
      <protection/>
    </xf>
    <xf numFmtId="3" fontId="0" fillId="36" borderId="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0" borderId="14" xfId="57" applyNumberFormat="1" applyFont="1" applyFill="1" applyBorder="1">
      <alignment/>
      <protection/>
    </xf>
    <xf numFmtId="3" fontId="0" fillId="0" borderId="0" xfId="59" applyNumberFormat="1" applyFill="1" applyBorder="1">
      <alignment/>
      <protection/>
    </xf>
    <xf numFmtId="3" fontId="0" fillId="0" borderId="10" xfId="59" applyNumberFormat="1" applyFill="1" applyBorder="1">
      <alignment/>
      <protection/>
    </xf>
    <xf numFmtId="3" fontId="1" fillId="0" borderId="10" xfId="59" applyNumberFormat="1" applyFont="1" applyFill="1" applyBorder="1">
      <alignment/>
      <protection/>
    </xf>
    <xf numFmtId="3" fontId="0" fillId="36" borderId="14" xfId="0" applyNumberFormat="1" applyFill="1" applyBorder="1" applyAlignment="1">
      <alignment/>
    </xf>
    <xf numFmtId="3" fontId="0" fillId="0" borderId="10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ill="1" applyAlignment="1">
      <alignment horizontal="center"/>
    </xf>
    <xf numFmtId="0" fontId="0" fillId="36" borderId="0" xfId="0" applyFill="1" applyAlignment="1">
      <alignment/>
    </xf>
    <xf numFmtId="3" fontId="0" fillId="37" borderId="19" xfId="57" applyNumberFormat="1" applyFont="1" applyFill="1" applyBorder="1">
      <alignment/>
      <protection/>
    </xf>
    <xf numFmtId="3" fontId="1" fillId="37" borderId="10" xfId="57" applyNumberFormat="1" applyFont="1" applyFill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2" xfId="58"/>
    <cellStyle name="Normale 3" xfId="59"/>
    <cellStyle name="Normale 3 2" xfId="60"/>
    <cellStyle name="Normale_4_uesto_pere" xfId="61"/>
    <cellStyle name="Note" xfId="62"/>
    <cellStyle name="Output" xfId="63"/>
    <cellStyle name="Percent" xfId="64"/>
    <cellStyle name="Standard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5WGFLPOD\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4</xdr:col>
      <xdr:colOff>266700</xdr:colOff>
      <xdr:row>16</xdr:row>
      <xdr:rowOff>114300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7225" y="200025"/>
          <a:ext cx="26670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Sheet15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13092</v>
          </cell>
          <cell r="F2">
            <v>19914</v>
          </cell>
        </row>
        <row r="3">
          <cell r="E3">
            <v>5717</v>
          </cell>
          <cell r="F3">
            <v>5031</v>
          </cell>
        </row>
        <row r="4">
          <cell r="E4">
            <v>28889</v>
          </cell>
          <cell r="F4">
            <v>26069</v>
          </cell>
        </row>
        <row r="5">
          <cell r="E5">
            <v>258155</v>
          </cell>
          <cell r="F5">
            <v>287730</v>
          </cell>
        </row>
        <row r="6">
          <cell r="E6">
            <v>401744</v>
          </cell>
          <cell r="F6">
            <v>472138</v>
          </cell>
        </row>
        <row r="7">
          <cell r="E7">
            <v>91870</v>
          </cell>
          <cell r="F7">
            <v>146638</v>
          </cell>
        </row>
        <row r="8">
          <cell r="E8">
            <v>199024</v>
          </cell>
          <cell r="F8">
            <v>318163</v>
          </cell>
        </row>
        <row r="9">
          <cell r="E9">
            <v>176404</v>
          </cell>
          <cell r="F9">
            <v>165123</v>
          </cell>
        </row>
        <row r="10">
          <cell r="E10">
            <v>2134</v>
          </cell>
          <cell r="F10">
            <v>3964</v>
          </cell>
        </row>
        <row r="11">
          <cell r="E11">
            <v>12863</v>
          </cell>
          <cell r="F11">
            <v>12139</v>
          </cell>
        </row>
        <row r="12">
          <cell r="E12">
            <v>3354</v>
          </cell>
          <cell r="F12">
            <v>1791</v>
          </cell>
        </row>
        <row r="13">
          <cell r="E13">
            <v>37236</v>
          </cell>
          <cell r="F13">
            <v>36779</v>
          </cell>
        </row>
        <row r="14">
          <cell r="E14">
            <v>1582</v>
          </cell>
          <cell r="F14">
            <v>2211</v>
          </cell>
        </row>
        <row r="15">
          <cell r="E15">
            <v>877</v>
          </cell>
          <cell r="F15">
            <v>19</v>
          </cell>
        </row>
        <row r="16">
          <cell r="E16">
            <v>0</v>
          </cell>
          <cell r="F16">
            <v>0</v>
          </cell>
        </row>
        <row r="17">
          <cell r="E17">
            <v>101322</v>
          </cell>
          <cell r="F17">
            <v>94405</v>
          </cell>
        </row>
        <row r="18">
          <cell r="E18">
            <v>499446</v>
          </cell>
          <cell r="F18">
            <v>602197</v>
          </cell>
        </row>
        <row r="19">
          <cell r="E19">
            <v>4974</v>
          </cell>
          <cell r="F19">
            <v>8061</v>
          </cell>
        </row>
        <row r="20">
          <cell r="E20">
            <v>991</v>
          </cell>
          <cell r="F20">
            <v>2096</v>
          </cell>
        </row>
        <row r="21">
          <cell r="E21">
            <v>2820</v>
          </cell>
          <cell r="F21">
            <v>3144</v>
          </cell>
        </row>
        <row r="22">
          <cell r="E22">
            <v>610</v>
          </cell>
          <cell r="F22">
            <v>896</v>
          </cell>
        </row>
        <row r="23">
          <cell r="E23">
            <v>0</v>
          </cell>
          <cell r="F23">
            <v>0</v>
          </cell>
        </row>
        <row r="24">
          <cell r="E24">
            <v>953</v>
          </cell>
          <cell r="F24">
            <v>38</v>
          </cell>
        </row>
        <row r="25">
          <cell r="E25">
            <v>124743</v>
          </cell>
          <cell r="F25">
            <v>133889</v>
          </cell>
        </row>
        <row r="26">
          <cell r="E26">
            <v>1968800</v>
          </cell>
          <cell r="F26">
            <v>2342435</v>
          </cell>
        </row>
        <row r="30">
          <cell r="E30">
            <v>158322</v>
          </cell>
          <cell r="F30">
            <v>125301</v>
          </cell>
        </row>
        <row r="31">
          <cell r="E31">
            <v>54374</v>
          </cell>
          <cell r="F31">
            <v>29987</v>
          </cell>
        </row>
        <row r="32">
          <cell r="E32">
            <v>17801</v>
          </cell>
          <cell r="F32">
            <v>14231</v>
          </cell>
        </row>
        <row r="33">
          <cell r="E33">
            <v>2405</v>
          </cell>
          <cell r="F33">
            <v>1529</v>
          </cell>
        </row>
        <row r="34">
          <cell r="E34">
            <v>623</v>
          </cell>
          <cell r="F34">
            <v>321</v>
          </cell>
        </row>
        <row r="35">
          <cell r="E35">
            <v>523</v>
          </cell>
          <cell r="F35">
            <v>277</v>
          </cell>
        </row>
        <row r="36">
          <cell r="E36">
            <v>655</v>
          </cell>
          <cell r="F36">
            <v>160</v>
          </cell>
        </row>
        <row r="38">
          <cell r="E38">
            <v>133</v>
          </cell>
          <cell r="F38">
            <v>246</v>
          </cell>
        </row>
        <row r="39">
          <cell r="E39">
            <v>41552</v>
          </cell>
          <cell r="F39">
            <v>20128</v>
          </cell>
        </row>
        <row r="40">
          <cell r="E40">
            <v>276388</v>
          </cell>
          <cell r="F40">
            <v>192180</v>
          </cell>
        </row>
      </sheetData>
      <sheetData sheetId="2">
        <row r="2">
          <cell r="E2">
            <v>115430</v>
          </cell>
          <cell r="F2">
            <v>63153</v>
          </cell>
        </row>
        <row r="3">
          <cell r="E3">
            <v>187712</v>
          </cell>
          <cell r="F3">
            <v>33761</v>
          </cell>
        </row>
        <row r="4">
          <cell r="E4">
            <v>66199</v>
          </cell>
          <cell r="F4">
            <v>41155</v>
          </cell>
        </row>
        <row r="5">
          <cell r="E5">
            <v>14796</v>
          </cell>
          <cell r="F5">
            <v>7880</v>
          </cell>
        </row>
        <row r="6">
          <cell r="E6">
            <v>670544</v>
          </cell>
          <cell r="F6">
            <v>634624</v>
          </cell>
        </row>
        <row r="7">
          <cell r="E7">
            <v>413686</v>
          </cell>
          <cell r="F7">
            <v>225768</v>
          </cell>
        </row>
        <row r="8">
          <cell r="E8">
            <v>1491242</v>
          </cell>
          <cell r="F8">
            <v>1007499</v>
          </cell>
        </row>
        <row r="9">
          <cell r="E9">
            <v>1705000</v>
          </cell>
          <cell r="F9">
            <v>1039000</v>
          </cell>
        </row>
        <row r="10">
          <cell r="E10">
            <v>0</v>
          </cell>
          <cell r="F10">
            <v>0</v>
          </cell>
        </row>
        <row r="11">
          <cell r="E11">
            <v>225896</v>
          </cell>
          <cell r="F11">
            <v>214382</v>
          </cell>
        </row>
        <row r="12">
          <cell r="E12">
            <v>63736</v>
          </cell>
          <cell r="F12">
            <v>41382</v>
          </cell>
        </row>
        <row r="13">
          <cell r="E13">
            <v>180727.21600000001</v>
          </cell>
          <cell r="F13">
            <v>145665</v>
          </cell>
        </row>
        <row r="14">
          <cell r="F14">
            <v>94063</v>
          </cell>
        </row>
        <row r="15">
          <cell r="E15">
            <v>5134968.216</v>
          </cell>
          <cell r="F15">
            <v>3548332</v>
          </cell>
        </row>
        <row r="19">
          <cell r="E19">
            <v>266890</v>
          </cell>
          <cell r="F19">
            <v>194885</v>
          </cell>
        </row>
        <row r="20">
          <cell r="E20">
            <v>2348</v>
          </cell>
          <cell r="F20">
            <v>1719</v>
          </cell>
        </row>
        <row r="21">
          <cell r="E21">
            <v>626</v>
          </cell>
          <cell r="F21">
            <v>0</v>
          </cell>
        </row>
        <row r="22">
          <cell r="E22">
            <v>13169</v>
          </cell>
          <cell r="F22">
            <v>11812</v>
          </cell>
        </row>
        <row r="23">
          <cell r="E23">
            <v>5040</v>
          </cell>
          <cell r="F23">
            <v>3221</v>
          </cell>
        </row>
        <row r="24">
          <cell r="E24">
            <v>255781.3965072959</v>
          </cell>
          <cell r="F24">
            <v>285998</v>
          </cell>
        </row>
        <row r="25">
          <cell r="E25">
            <v>37000</v>
          </cell>
          <cell r="F25">
            <v>13000</v>
          </cell>
        </row>
        <row r="26">
          <cell r="E26">
            <v>0</v>
          </cell>
          <cell r="F26">
            <v>0</v>
          </cell>
        </row>
        <row r="27">
          <cell r="E27">
            <v>71976</v>
          </cell>
          <cell r="F27">
            <v>86574</v>
          </cell>
        </row>
        <row r="28">
          <cell r="E28">
            <v>9191</v>
          </cell>
          <cell r="F28">
            <v>2128</v>
          </cell>
        </row>
        <row r="29">
          <cell r="E29">
            <v>254616.81399999998</v>
          </cell>
          <cell r="F29">
            <v>206152</v>
          </cell>
        </row>
        <row r="30">
          <cell r="E30">
            <v>0</v>
          </cell>
          <cell r="F30">
            <v>10074</v>
          </cell>
        </row>
        <row r="31">
          <cell r="E31">
            <v>916638.2105072959</v>
          </cell>
          <cell r="F31">
            <v>815563</v>
          </cell>
        </row>
      </sheetData>
      <sheetData sheetId="3">
        <row r="2">
          <cell r="E2">
            <v>25000</v>
          </cell>
          <cell r="F2">
            <v>18000</v>
          </cell>
        </row>
        <row r="3">
          <cell r="E3">
            <v>30679.191</v>
          </cell>
          <cell r="F3">
            <v>8976</v>
          </cell>
        </row>
        <row r="4">
          <cell r="E4">
            <v>155866</v>
          </cell>
          <cell r="F4">
            <v>117993</v>
          </cell>
        </row>
        <row r="5">
          <cell r="E5">
            <v>0</v>
          </cell>
          <cell r="F5">
            <v>49500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1232</v>
          </cell>
          <cell r="F8">
            <v>11059</v>
          </cell>
        </row>
        <row r="9">
          <cell r="E9">
            <v>202161</v>
          </cell>
          <cell r="F9">
            <v>178490</v>
          </cell>
        </row>
        <row r="10">
          <cell r="E10">
            <v>148405.138</v>
          </cell>
          <cell r="F10">
            <v>108047</v>
          </cell>
        </row>
        <row r="11">
          <cell r="E11">
            <v>180181</v>
          </cell>
          <cell r="F11">
            <v>150764</v>
          </cell>
        </row>
        <row r="12">
          <cell r="E12">
            <v>490937</v>
          </cell>
          <cell r="F12">
            <v>388609</v>
          </cell>
        </row>
        <row r="13">
          <cell r="E13">
            <v>97443</v>
          </cell>
          <cell r="F13">
            <v>96051</v>
          </cell>
        </row>
        <row r="14">
          <cell r="E14">
            <v>1160094.358</v>
          </cell>
          <cell r="F14">
            <v>909613</v>
          </cell>
        </row>
        <row r="15">
          <cell r="E15">
            <v>197039</v>
          </cell>
          <cell r="F15">
            <v>201348</v>
          </cell>
        </row>
        <row r="16">
          <cell r="E16">
            <v>4155</v>
          </cell>
          <cell r="F16">
            <v>1154</v>
          </cell>
        </row>
        <row r="17">
          <cell r="E17">
            <v>384973</v>
          </cell>
          <cell r="F17">
            <v>203472</v>
          </cell>
        </row>
        <row r="18">
          <cell r="E18">
            <v>334450.012</v>
          </cell>
          <cell r="F18">
            <v>147882</v>
          </cell>
        </row>
        <row r="19">
          <cell r="E19">
            <v>101167</v>
          </cell>
          <cell r="F19">
            <v>34438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23355</v>
          </cell>
          <cell r="F22">
            <v>18463</v>
          </cell>
        </row>
        <row r="23">
          <cell r="E23">
            <v>86330</v>
          </cell>
          <cell r="F23">
            <v>29004</v>
          </cell>
        </row>
        <row r="24">
          <cell r="E24">
            <v>241874</v>
          </cell>
          <cell r="F24">
            <v>159204</v>
          </cell>
        </row>
        <row r="25">
          <cell r="E25">
            <v>73214</v>
          </cell>
          <cell r="F25">
            <v>42137</v>
          </cell>
        </row>
        <row r="26">
          <cell r="E26">
            <v>42175</v>
          </cell>
          <cell r="F26">
            <v>20152</v>
          </cell>
        </row>
        <row r="27">
          <cell r="E27">
            <v>234358</v>
          </cell>
          <cell r="F27">
            <v>174018</v>
          </cell>
        </row>
        <row r="28">
          <cell r="E28">
            <v>4177</v>
          </cell>
          <cell r="F28">
            <v>4407</v>
          </cell>
        </row>
        <row r="29">
          <cell r="E29">
            <v>44</v>
          </cell>
          <cell r="F29">
            <v>35</v>
          </cell>
        </row>
        <row r="30">
          <cell r="E30">
            <v>141339.759</v>
          </cell>
          <cell r="F30">
            <v>94415</v>
          </cell>
        </row>
        <row r="31">
          <cell r="E31">
            <v>774318.758</v>
          </cell>
          <cell r="F31">
            <v>381101</v>
          </cell>
        </row>
        <row r="32">
          <cell r="E32">
            <v>5134968.216</v>
          </cell>
          <cell r="F32">
            <v>3548332</v>
          </cell>
        </row>
        <row r="36">
          <cell r="E36">
            <v>156648.07633423616</v>
          </cell>
          <cell r="F36">
            <v>188252</v>
          </cell>
        </row>
        <row r="37">
          <cell r="E37">
            <v>3760</v>
          </cell>
          <cell r="F37">
            <v>5055</v>
          </cell>
        </row>
        <row r="38">
          <cell r="E38">
            <v>8062</v>
          </cell>
          <cell r="F38">
            <v>12358</v>
          </cell>
        </row>
        <row r="39">
          <cell r="E39">
            <v>587539.9724491233</v>
          </cell>
          <cell r="F39">
            <v>502694</v>
          </cell>
        </row>
        <row r="40">
          <cell r="E40">
            <v>33866.57350152736</v>
          </cell>
          <cell r="F40">
            <v>20284</v>
          </cell>
        </row>
        <row r="41">
          <cell r="E41">
            <v>24119.809259286663</v>
          </cell>
          <cell r="F41">
            <v>25577</v>
          </cell>
        </row>
        <row r="42">
          <cell r="E42">
            <v>0</v>
          </cell>
          <cell r="F42">
            <v>0</v>
          </cell>
        </row>
        <row r="43">
          <cell r="E43">
            <v>102641.77896312246</v>
          </cell>
          <cell r="F43">
            <v>61343</v>
          </cell>
        </row>
        <row r="44">
          <cell r="E44">
            <v>916638.2105072958</v>
          </cell>
          <cell r="F44">
            <v>815563</v>
          </cell>
        </row>
      </sheetData>
      <sheetData sheetId="4">
        <row r="2">
          <cell r="E2">
            <v>854</v>
          </cell>
          <cell r="F2">
            <v>337</v>
          </cell>
        </row>
        <row r="3">
          <cell r="E3">
            <v>105</v>
          </cell>
          <cell r="F3">
            <v>10</v>
          </cell>
        </row>
        <row r="4">
          <cell r="E4">
            <v>11892</v>
          </cell>
          <cell r="F4">
            <v>5419</v>
          </cell>
        </row>
        <row r="5">
          <cell r="E5">
            <v>4874</v>
          </cell>
          <cell r="F5">
            <v>1618</v>
          </cell>
        </row>
        <row r="6">
          <cell r="E6">
            <v>8898</v>
          </cell>
          <cell r="F6">
            <v>4982</v>
          </cell>
        </row>
        <row r="7">
          <cell r="E7">
            <v>3163</v>
          </cell>
          <cell r="F7">
            <v>1686</v>
          </cell>
        </row>
        <row r="8">
          <cell r="E8">
            <v>25242</v>
          </cell>
          <cell r="F8">
            <v>12675</v>
          </cell>
        </row>
        <row r="9">
          <cell r="E9">
            <v>0</v>
          </cell>
        </row>
        <row r="10">
          <cell r="E10">
            <v>27674</v>
          </cell>
          <cell r="F10">
            <v>25638</v>
          </cell>
        </row>
        <row r="11">
          <cell r="E11">
            <v>227</v>
          </cell>
          <cell r="F11">
            <v>160</v>
          </cell>
        </row>
        <row r="12">
          <cell r="E12">
            <v>10625</v>
          </cell>
          <cell r="F12">
            <v>4267</v>
          </cell>
        </row>
        <row r="13">
          <cell r="E13">
            <v>8282</v>
          </cell>
          <cell r="F13">
            <v>3834</v>
          </cell>
        </row>
        <row r="14">
          <cell r="E14">
            <v>0</v>
          </cell>
          <cell r="F14">
            <v>0</v>
          </cell>
        </row>
        <row r="15">
          <cell r="E15">
            <v>804</v>
          </cell>
          <cell r="F15">
            <v>100</v>
          </cell>
        </row>
        <row r="16">
          <cell r="E16">
            <v>1893</v>
          </cell>
          <cell r="F16">
            <v>685</v>
          </cell>
        </row>
        <row r="17">
          <cell r="E17">
            <v>1831</v>
          </cell>
          <cell r="F17">
            <v>541</v>
          </cell>
        </row>
        <row r="18">
          <cell r="E18">
            <v>68</v>
          </cell>
          <cell r="F18">
            <v>10</v>
          </cell>
        </row>
        <row r="19">
          <cell r="E19">
            <v>5513</v>
          </cell>
          <cell r="F19">
            <v>918</v>
          </cell>
        </row>
        <row r="20">
          <cell r="E20">
            <v>3485</v>
          </cell>
          <cell r="F20">
            <v>273</v>
          </cell>
        </row>
        <row r="21">
          <cell r="E21">
            <v>115430</v>
          </cell>
          <cell r="F21">
            <v>63153</v>
          </cell>
        </row>
      </sheetData>
      <sheetData sheetId="5">
        <row r="2">
          <cell r="E2">
            <v>6339</v>
          </cell>
          <cell r="F2">
            <v>47</v>
          </cell>
        </row>
        <row r="4">
          <cell r="E4">
            <v>3057</v>
          </cell>
          <cell r="F4">
            <v>400</v>
          </cell>
        </row>
        <row r="6">
          <cell r="E6">
            <v>20435</v>
          </cell>
          <cell r="F6">
            <v>11996</v>
          </cell>
        </row>
        <row r="7">
          <cell r="E7">
            <v>86480</v>
          </cell>
          <cell r="F7">
            <v>9812</v>
          </cell>
        </row>
        <row r="8">
          <cell r="E8">
            <v>44450</v>
          </cell>
          <cell r="F8">
            <v>5743</v>
          </cell>
        </row>
        <row r="9">
          <cell r="E9">
            <v>26951</v>
          </cell>
          <cell r="F9">
            <v>5763</v>
          </cell>
        </row>
        <row r="10">
          <cell r="E10">
            <v>187712</v>
          </cell>
          <cell r="F10">
            <v>33761</v>
          </cell>
        </row>
        <row r="15">
          <cell r="E15">
            <v>249675</v>
          </cell>
          <cell r="F15">
            <v>189864</v>
          </cell>
        </row>
        <row r="16">
          <cell r="E16">
            <v>9015</v>
          </cell>
          <cell r="F16">
            <v>1936</v>
          </cell>
        </row>
        <row r="17">
          <cell r="E17">
            <v>231</v>
          </cell>
          <cell r="F17">
            <v>300</v>
          </cell>
        </row>
        <row r="18">
          <cell r="E18">
            <v>7969</v>
          </cell>
          <cell r="F18">
            <v>2785</v>
          </cell>
        </row>
        <row r="19">
          <cell r="E19">
            <v>266890</v>
          </cell>
          <cell r="F19">
            <v>194885</v>
          </cell>
        </row>
      </sheetData>
      <sheetData sheetId="6">
        <row r="2">
          <cell r="E2">
            <v>4820</v>
          </cell>
          <cell r="F2">
            <v>2625</v>
          </cell>
        </row>
        <row r="3">
          <cell r="E3">
            <v>5649</v>
          </cell>
          <cell r="F3">
            <v>4527</v>
          </cell>
        </row>
        <row r="4">
          <cell r="E4">
            <v>1577</v>
          </cell>
          <cell r="F4">
            <v>664</v>
          </cell>
        </row>
        <row r="5">
          <cell r="E5">
            <v>17603</v>
          </cell>
          <cell r="F5">
            <v>15295</v>
          </cell>
        </row>
        <row r="6">
          <cell r="E6">
            <v>13049</v>
          </cell>
          <cell r="F6">
            <v>8343</v>
          </cell>
        </row>
        <row r="7">
          <cell r="E7">
            <v>11980</v>
          </cell>
          <cell r="F7">
            <v>5042</v>
          </cell>
        </row>
        <row r="8">
          <cell r="E8">
            <v>2447</v>
          </cell>
          <cell r="F8">
            <v>1191</v>
          </cell>
        </row>
        <row r="9">
          <cell r="E9">
            <v>2507</v>
          </cell>
          <cell r="F9">
            <v>1321</v>
          </cell>
        </row>
        <row r="10">
          <cell r="E10">
            <v>26</v>
          </cell>
          <cell r="F10">
            <v>35</v>
          </cell>
        </row>
        <row r="11">
          <cell r="E11">
            <v>6541</v>
          </cell>
          <cell r="F11">
            <v>2112</v>
          </cell>
        </row>
        <row r="12">
          <cell r="E12">
            <v>66199</v>
          </cell>
          <cell r="F12">
            <v>41155</v>
          </cell>
        </row>
        <row r="16">
          <cell r="E16">
            <v>1335</v>
          </cell>
          <cell r="F16">
            <v>1444</v>
          </cell>
        </row>
        <row r="17">
          <cell r="E17">
            <v>19</v>
          </cell>
          <cell r="F17">
            <v>0</v>
          </cell>
        </row>
        <row r="18">
          <cell r="E18">
            <v>315</v>
          </cell>
          <cell r="F18">
            <v>112</v>
          </cell>
        </row>
        <row r="19">
          <cell r="E19">
            <v>469</v>
          </cell>
          <cell r="F19">
            <v>154</v>
          </cell>
        </row>
        <row r="20">
          <cell r="E20">
            <v>210</v>
          </cell>
          <cell r="F20">
            <v>9</v>
          </cell>
        </row>
        <row r="21">
          <cell r="E21">
            <v>2348</v>
          </cell>
          <cell r="F21">
            <v>1719</v>
          </cell>
        </row>
      </sheetData>
      <sheetData sheetId="7">
        <row r="2">
          <cell r="E2">
            <v>76</v>
          </cell>
          <cell r="F2">
            <v>57</v>
          </cell>
        </row>
        <row r="3">
          <cell r="E3">
            <v>439</v>
          </cell>
          <cell r="F3">
            <v>376</v>
          </cell>
        </row>
        <row r="4">
          <cell r="E4">
            <v>657</v>
          </cell>
          <cell r="F4">
            <v>313</v>
          </cell>
        </row>
        <row r="5">
          <cell r="E5">
            <v>4874</v>
          </cell>
          <cell r="F5">
            <v>2674</v>
          </cell>
        </row>
        <row r="6">
          <cell r="E6">
            <v>16</v>
          </cell>
          <cell r="F6">
            <v>24</v>
          </cell>
        </row>
        <row r="7">
          <cell r="E7">
            <v>606</v>
          </cell>
          <cell r="F7">
            <v>314</v>
          </cell>
        </row>
        <row r="8">
          <cell r="E8">
            <v>0</v>
          </cell>
          <cell r="F8">
            <v>0</v>
          </cell>
        </row>
        <row r="9">
          <cell r="E9">
            <v>287</v>
          </cell>
          <cell r="F9">
            <v>27</v>
          </cell>
        </row>
        <row r="10">
          <cell r="E10">
            <v>14</v>
          </cell>
          <cell r="F10">
            <v>17</v>
          </cell>
        </row>
        <row r="11">
          <cell r="E11">
            <v>2011</v>
          </cell>
          <cell r="F11">
            <v>754</v>
          </cell>
        </row>
        <row r="12">
          <cell r="E12">
            <v>51</v>
          </cell>
          <cell r="F12">
            <v>32</v>
          </cell>
        </row>
        <row r="13">
          <cell r="E13">
            <v>2800</v>
          </cell>
          <cell r="F13">
            <v>1985</v>
          </cell>
        </row>
        <row r="14">
          <cell r="E14">
            <v>139</v>
          </cell>
          <cell r="F14">
            <v>86</v>
          </cell>
        </row>
        <row r="15">
          <cell r="E15">
            <v>0</v>
          </cell>
        </row>
        <row r="16">
          <cell r="E16">
            <v>18</v>
          </cell>
          <cell r="F16">
            <v>0</v>
          </cell>
        </row>
        <row r="17">
          <cell r="E17">
            <v>2148</v>
          </cell>
          <cell r="F17">
            <v>1064</v>
          </cell>
        </row>
        <row r="18">
          <cell r="E18">
            <v>660</v>
          </cell>
          <cell r="F18">
            <v>157</v>
          </cell>
        </row>
        <row r="19">
          <cell r="E19">
            <v>14796</v>
          </cell>
          <cell r="F19">
            <v>7880</v>
          </cell>
        </row>
        <row r="23">
          <cell r="E23">
            <v>222</v>
          </cell>
          <cell r="F23">
            <v>0</v>
          </cell>
        </row>
        <row r="24">
          <cell r="F24">
            <v>0</v>
          </cell>
        </row>
        <row r="25">
          <cell r="E25">
            <v>404</v>
          </cell>
          <cell r="F25">
            <v>0</v>
          </cell>
        </row>
        <row r="26">
          <cell r="E26">
            <v>626</v>
          </cell>
          <cell r="F26">
            <v>0</v>
          </cell>
        </row>
      </sheetData>
      <sheetData sheetId="8">
        <row r="2">
          <cell r="E2">
            <v>9438</v>
          </cell>
          <cell r="F2">
            <v>10427</v>
          </cell>
        </row>
        <row r="3">
          <cell r="E3">
            <v>26779</v>
          </cell>
          <cell r="F3">
            <v>22342</v>
          </cell>
        </row>
        <row r="4">
          <cell r="E4">
            <v>3248</v>
          </cell>
          <cell r="F4">
            <v>1552</v>
          </cell>
        </row>
        <row r="5">
          <cell r="E5">
            <v>25163</v>
          </cell>
          <cell r="F5">
            <v>26644</v>
          </cell>
        </row>
        <row r="7">
          <cell r="E7">
            <v>4564</v>
          </cell>
          <cell r="F7">
            <v>3595</v>
          </cell>
        </row>
        <row r="8">
          <cell r="E8">
            <v>114980</v>
          </cell>
          <cell r="F8">
            <v>93225</v>
          </cell>
        </row>
        <row r="9">
          <cell r="E9">
            <v>3021</v>
          </cell>
          <cell r="F9">
            <v>2267</v>
          </cell>
        </row>
        <row r="10">
          <cell r="E10">
            <v>16556</v>
          </cell>
          <cell r="F10">
            <v>24125</v>
          </cell>
        </row>
        <row r="11">
          <cell r="E11">
            <v>105491</v>
          </cell>
          <cell r="F11">
            <v>91844</v>
          </cell>
        </row>
        <row r="12">
          <cell r="E12">
            <v>185007</v>
          </cell>
          <cell r="F12">
            <v>188015</v>
          </cell>
        </row>
        <row r="13">
          <cell r="E13">
            <v>2773</v>
          </cell>
          <cell r="F13">
            <v>2500</v>
          </cell>
        </row>
        <row r="14">
          <cell r="E14">
            <v>71829</v>
          </cell>
          <cell r="F14">
            <v>79486</v>
          </cell>
        </row>
        <row r="15">
          <cell r="E15">
            <v>6587</v>
          </cell>
          <cell r="F15">
            <v>5996</v>
          </cell>
        </row>
        <row r="16">
          <cell r="E16">
            <v>1292</v>
          </cell>
          <cell r="F16">
            <v>1158</v>
          </cell>
        </row>
        <row r="17">
          <cell r="E17">
            <v>17936</v>
          </cell>
          <cell r="F17">
            <v>15173</v>
          </cell>
        </row>
        <row r="18">
          <cell r="E18">
            <v>13473</v>
          </cell>
          <cell r="F18">
            <v>10721</v>
          </cell>
        </row>
        <row r="19">
          <cell r="E19">
            <v>550</v>
          </cell>
          <cell r="F19">
            <v>267</v>
          </cell>
        </row>
        <row r="20">
          <cell r="E20">
            <v>15706</v>
          </cell>
          <cell r="F20">
            <v>15163</v>
          </cell>
        </row>
        <row r="21">
          <cell r="E21">
            <v>18515</v>
          </cell>
          <cell r="F21">
            <v>20350</v>
          </cell>
        </row>
        <row r="22">
          <cell r="E22">
            <v>1469</v>
          </cell>
          <cell r="F22">
            <v>838</v>
          </cell>
        </row>
        <row r="23">
          <cell r="E23">
            <v>10621</v>
          </cell>
          <cell r="F23">
            <v>7937</v>
          </cell>
        </row>
        <row r="24">
          <cell r="E24">
            <v>3797</v>
          </cell>
          <cell r="F24">
            <v>3935</v>
          </cell>
        </row>
        <row r="25">
          <cell r="E25">
            <v>11749</v>
          </cell>
          <cell r="F25">
            <v>7064</v>
          </cell>
        </row>
        <row r="26">
          <cell r="E26">
            <v>670544</v>
          </cell>
          <cell r="F26">
            <v>634624</v>
          </cell>
        </row>
        <row r="30">
          <cell r="E30">
            <v>2135</v>
          </cell>
          <cell r="F30">
            <v>2414</v>
          </cell>
        </row>
        <row r="32">
          <cell r="E32">
            <v>5359</v>
          </cell>
          <cell r="F32">
            <v>4574</v>
          </cell>
        </row>
        <row r="33">
          <cell r="E33">
            <v>2850</v>
          </cell>
          <cell r="F33">
            <v>1976</v>
          </cell>
        </row>
        <row r="34">
          <cell r="E34">
            <v>0</v>
          </cell>
        </row>
        <row r="35">
          <cell r="E35">
            <v>1204</v>
          </cell>
          <cell r="F35">
            <v>879</v>
          </cell>
        </row>
        <row r="36">
          <cell r="E36">
            <v>0</v>
          </cell>
          <cell r="F36">
            <v>418</v>
          </cell>
        </row>
        <row r="37">
          <cell r="E37">
            <v>1621</v>
          </cell>
          <cell r="F37">
            <v>1551</v>
          </cell>
        </row>
        <row r="38">
          <cell r="E38">
            <v>13169</v>
          </cell>
          <cell r="F38">
            <v>11812</v>
          </cell>
        </row>
      </sheetData>
      <sheetData sheetId="9">
        <row r="2">
          <cell r="E2">
            <v>12195</v>
          </cell>
          <cell r="F2">
            <v>2695</v>
          </cell>
        </row>
        <row r="3">
          <cell r="E3">
            <v>51970</v>
          </cell>
          <cell r="F3">
            <v>25544</v>
          </cell>
        </row>
        <row r="4">
          <cell r="E4">
            <v>239</v>
          </cell>
          <cell r="F4">
            <v>61</v>
          </cell>
        </row>
        <row r="5">
          <cell r="E5">
            <v>66109</v>
          </cell>
          <cell r="F5">
            <v>44229</v>
          </cell>
        </row>
        <row r="6">
          <cell r="E6">
            <v>12006</v>
          </cell>
          <cell r="F6">
            <v>3628</v>
          </cell>
        </row>
        <row r="7">
          <cell r="E7">
            <v>28164</v>
          </cell>
          <cell r="F7">
            <v>18216</v>
          </cell>
        </row>
        <row r="8">
          <cell r="E8">
            <v>860</v>
          </cell>
          <cell r="F8">
            <v>369</v>
          </cell>
        </row>
        <row r="9">
          <cell r="E9">
            <v>4251</v>
          </cell>
          <cell r="F9">
            <v>4603</v>
          </cell>
        </row>
        <row r="10">
          <cell r="E10">
            <v>3868</v>
          </cell>
          <cell r="F10">
            <v>1127</v>
          </cell>
        </row>
        <row r="11">
          <cell r="E11">
            <v>9068</v>
          </cell>
          <cell r="F11">
            <v>8699</v>
          </cell>
        </row>
        <row r="12">
          <cell r="E12">
            <v>195</v>
          </cell>
          <cell r="F12">
            <v>192</v>
          </cell>
        </row>
        <row r="13">
          <cell r="E13">
            <v>32334</v>
          </cell>
          <cell r="F13">
            <v>12822</v>
          </cell>
        </row>
        <row r="14">
          <cell r="E14">
            <v>53917</v>
          </cell>
          <cell r="F14">
            <v>26710</v>
          </cell>
        </row>
        <row r="15">
          <cell r="E15">
            <v>11251</v>
          </cell>
          <cell r="F15">
            <v>8165</v>
          </cell>
        </row>
        <row r="16">
          <cell r="E16">
            <v>71383</v>
          </cell>
          <cell r="F16">
            <v>41596</v>
          </cell>
        </row>
        <row r="17">
          <cell r="E17">
            <v>1851</v>
          </cell>
          <cell r="F17">
            <v>2697</v>
          </cell>
        </row>
        <row r="18">
          <cell r="E18">
            <v>2958</v>
          </cell>
          <cell r="F18">
            <v>657</v>
          </cell>
        </row>
        <row r="19">
          <cell r="E19">
            <v>43055</v>
          </cell>
          <cell r="F19">
            <v>20530</v>
          </cell>
        </row>
        <row r="20">
          <cell r="E20">
            <v>8012</v>
          </cell>
          <cell r="F20">
            <v>3228</v>
          </cell>
        </row>
        <row r="21">
          <cell r="E21">
            <v>413686</v>
          </cell>
          <cell r="F21">
            <v>225768</v>
          </cell>
        </row>
        <row r="25">
          <cell r="E25">
            <v>5040</v>
          </cell>
          <cell r="F25">
            <v>3221</v>
          </cell>
        </row>
        <row r="26">
          <cell r="E26">
            <v>5040</v>
          </cell>
          <cell r="F26">
            <v>3221</v>
          </cell>
        </row>
      </sheetData>
      <sheetData sheetId="10">
        <row r="2">
          <cell r="E2">
            <v>25000</v>
          </cell>
          <cell r="F2">
            <v>18000</v>
          </cell>
        </row>
        <row r="3">
          <cell r="E3">
            <v>52201</v>
          </cell>
          <cell r="F3">
            <v>43268</v>
          </cell>
        </row>
        <row r="4">
          <cell r="E4">
            <v>87181</v>
          </cell>
          <cell r="F4">
            <v>85265</v>
          </cell>
        </row>
        <row r="5">
          <cell r="E5">
            <v>1</v>
          </cell>
          <cell r="F5">
            <v>0</v>
          </cell>
        </row>
        <row r="6">
          <cell r="E6">
            <v>121634</v>
          </cell>
          <cell r="F6">
            <v>102338</v>
          </cell>
        </row>
        <row r="7">
          <cell r="E7">
            <v>139775</v>
          </cell>
          <cell r="F7">
            <v>89903</v>
          </cell>
        </row>
        <row r="8">
          <cell r="E8">
            <v>6</v>
          </cell>
          <cell r="F8">
            <v>18</v>
          </cell>
        </row>
        <row r="9">
          <cell r="E9">
            <v>608049</v>
          </cell>
          <cell r="F9">
            <v>364616</v>
          </cell>
        </row>
        <row r="10">
          <cell r="E10">
            <v>101831</v>
          </cell>
          <cell r="F10">
            <v>99546</v>
          </cell>
        </row>
        <row r="11">
          <cell r="E11">
            <v>631</v>
          </cell>
          <cell r="F11">
            <v>815</v>
          </cell>
        </row>
        <row r="12">
          <cell r="E12">
            <v>4800</v>
          </cell>
          <cell r="F12">
            <v>3328</v>
          </cell>
        </row>
        <row r="13">
          <cell r="E13">
            <v>0</v>
          </cell>
          <cell r="F13">
            <v>0</v>
          </cell>
        </row>
        <row r="14">
          <cell r="E14">
            <v>23355</v>
          </cell>
          <cell r="F14">
            <v>18463</v>
          </cell>
        </row>
        <row r="15">
          <cell r="E15">
            <v>28005</v>
          </cell>
        </row>
        <row r="16">
          <cell r="E16">
            <v>188267</v>
          </cell>
          <cell r="F16">
            <v>117439</v>
          </cell>
        </row>
        <row r="17">
          <cell r="E17">
            <v>25909</v>
          </cell>
          <cell r="F17">
            <v>4722</v>
          </cell>
        </row>
        <row r="18">
          <cell r="E18">
            <v>4177</v>
          </cell>
          <cell r="F18">
            <v>4407</v>
          </cell>
        </row>
        <row r="19">
          <cell r="E19">
            <v>80420</v>
          </cell>
          <cell r="F19">
            <v>55371</v>
          </cell>
        </row>
        <row r="20">
          <cell r="E20">
            <v>1491242</v>
          </cell>
          <cell r="F20">
            <v>1007499</v>
          </cell>
        </row>
        <row r="24">
          <cell r="E24">
            <v>156648.07633423616</v>
          </cell>
          <cell r="F24">
            <v>188252</v>
          </cell>
        </row>
        <row r="25">
          <cell r="E25">
            <v>31351.567449123257</v>
          </cell>
          <cell r="F25">
            <v>34980</v>
          </cell>
        </row>
        <row r="26">
          <cell r="E26">
            <v>7751.442501527364</v>
          </cell>
          <cell r="F26">
            <v>8708</v>
          </cell>
        </row>
        <row r="27">
          <cell r="E27">
            <v>24119.809259286663</v>
          </cell>
          <cell r="F27">
            <v>25577</v>
          </cell>
        </row>
        <row r="28">
          <cell r="E28">
            <v>35910.50096312245</v>
          </cell>
          <cell r="F28">
            <v>28481</v>
          </cell>
        </row>
        <row r="29">
          <cell r="E29">
            <v>255781.3965072959</v>
          </cell>
          <cell r="F29">
            <v>285998</v>
          </cell>
        </row>
      </sheetData>
      <sheetData sheetId="12">
        <row r="5">
          <cell r="E5">
            <v>150000</v>
          </cell>
          <cell r="F5">
            <v>120000</v>
          </cell>
        </row>
        <row r="6">
          <cell r="E6">
            <v>95000</v>
          </cell>
          <cell r="F6">
            <v>95000</v>
          </cell>
        </row>
        <row r="7">
          <cell r="E7">
            <v>150000</v>
          </cell>
          <cell r="F7">
            <v>150000</v>
          </cell>
        </row>
        <row r="8">
          <cell r="E8">
            <v>350000</v>
          </cell>
          <cell r="F8">
            <v>180000</v>
          </cell>
        </row>
        <row r="9">
          <cell r="E9">
            <v>120000</v>
          </cell>
          <cell r="F9">
            <v>55000</v>
          </cell>
        </row>
        <row r="10">
          <cell r="E10">
            <v>150000</v>
          </cell>
          <cell r="F10">
            <v>95000</v>
          </cell>
        </row>
        <row r="12">
          <cell r="E12">
            <v>45000</v>
          </cell>
          <cell r="F12">
            <v>20000</v>
          </cell>
        </row>
        <row r="13">
          <cell r="E13">
            <v>15000</v>
          </cell>
          <cell r="F13">
            <v>4000</v>
          </cell>
        </row>
        <row r="14">
          <cell r="E14">
            <v>230000</v>
          </cell>
          <cell r="F14">
            <v>170000</v>
          </cell>
        </row>
        <row r="16">
          <cell r="E16">
            <v>400000</v>
          </cell>
          <cell r="F16">
            <v>150000</v>
          </cell>
        </row>
        <row r="17">
          <cell r="E17">
            <v>1705000</v>
          </cell>
          <cell r="F17">
            <v>1039000</v>
          </cell>
        </row>
        <row r="21">
          <cell r="E21">
            <v>30000</v>
          </cell>
          <cell r="F21">
            <v>12000</v>
          </cell>
        </row>
        <row r="23">
          <cell r="E23">
            <v>7000</v>
          </cell>
          <cell r="F23">
            <v>1000</v>
          </cell>
        </row>
        <row r="24">
          <cell r="E24">
            <v>37000</v>
          </cell>
          <cell r="F24">
            <v>13000</v>
          </cell>
        </row>
      </sheetData>
      <sheetData sheetId="14">
        <row r="2">
          <cell r="E2">
            <v>26806</v>
          </cell>
          <cell r="F2">
            <v>18963</v>
          </cell>
        </row>
        <row r="3">
          <cell r="E3">
            <v>14863</v>
          </cell>
          <cell r="F3">
            <v>13943</v>
          </cell>
        </row>
        <row r="4">
          <cell r="E4">
            <v>128115</v>
          </cell>
          <cell r="F4">
            <v>129740</v>
          </cell>
        </row>
        <row r="5">
          <cell r="E5">
            <v>22690</v>
          </cell>
          <cell r="F5">
            <v>21873</v>
          </cell>
        </row>
        <row r="6">
          <cell r="E6">
            <v>17645</v>
          </cell>
          <cell r="F6">
            <v>16224</v>
          </cell>
        </row>
        <row r="7">
          <cell r="E7">
            <v>15777</v>
          </cell>
          <cell r="F7">
            <v>13639</v>
          </cell>
        </row>
        <row r="8">
          <cell r="E8">
            <v>225896</v>
          </cell>
          <cell r="F8">
            <v>214382</v>
          </cell>
        </row>
        <row r="12">
          <cell r="E12">
            <v>3760</v>
          </cell>
          <cell r="F12">
            <v>5055</v>
          </cell>
        </row>
        <row r="13">
          <cell r="E13">
            <v>8062</v>
          </cell>
          <cell r="F13">
            <v>12358</v>
          </cell>
        </row>
        <row r="14">
          <cell r="E14">
            <v>54063</v>
          </cell>
          <cell r="F14">
            <v>63233</v>
          </cell>
        </row>
        <row r="15">
          <cell r="E15">
            <v>528</v>
          </cell>
          <cell r="F15">
            <v>0</v>
          </cell>
        </row>
        <row r="16">
          <cell r="E16">
            <v>5563</v>
          </cell>
          <cell r="F16">
            <v>5928</v>
          </cell>
        </row>
        <row r="17">
          <cell r="E17">
            <v>71976</v>
          </cell>
          <cell r="F17">
            <v>86574</v>
          </cell>
        </row>
      </sheetData>
      <sheetData sheetId="15">
        <row r="2">
          <cell r="E2">
            <v>946</v>
          </cell>
          <cell r="F2">
            <v>27</v>
          </cell>
        </row>
        <row r="3">
          <cell r="E3">
            <v>9820</v>
          </cell>
          <cell r="F3">
            <v>5303</v>
          </cell>
        </row>
        <row r="4">
          <cell r="E4">
            <v>336</v>
          </cell>
          <cell r="F4">
            <v>0</v>
          </cell>
        </row>
        <row r="5">
          <cell r="E5">
            <v>0</v>
          </cell>
          <cell r="F5">
            <v>12</v>
          </cell>
        </row>
        <row r="6">
          <cell r="E6">
            <v>21147</v>
          </cell>
          <cell r="F6">
            <v>13579</v>
          </cell>
        </row>
        <row r="7">
          <cell r="E7">
            <v>78</v>
          </cell>
          <cell r="F7">
            <v>36</v>
          </cell>
        </row>
        <row r="8">
          <cell r="E8">
            <v>10754</v>
          </cell>
          <cell r="F8">
            <v>11031</v>
          </cell>
        </row>
        <row r="9">
          <cell r="E9">
            <v>462</v>
          </cell>
          <cell r="F9">
            <v>283</v>
          </cell>
        </row>
        <row r="10">
          <cell r="E10">
            <v>294</v>
          </cell>
          <cell r="F10">
            <v>173</v>
          </cell>
        </row>
        <row r="11">
          <cell r="E11">
            <v>2046</v>
          </cell>
          <cell r="F11">
            <v>137</v>
          </cell>
        </row>
        <row r="12">
          <cell r="E12">
            <v>10</v>
          </cell>
          <cell r="F12">
            <v>0</v>
          </cell>
        </row>
        <row r="13">
          <cell r="E13">
            <v>74</v>
          </cell>
          <cell r="F13">
            <v>129</v>
          </cell>
        </row>
        <row r="14">
          <cell r="E14">
            <v>181</v>
          </cell>
          <cell r="F14">
            <v>154</v>
          </cell>
        </row>
        <row r="15">
          <cell r="E15">
            <v>38</v>
          </cell>
          <cell r="F15">
            <v>1</v>
          </cell>
        </row>
        <row r="16">
          <cell r="E16">
            <v>331</v>
          </cell>
          <cell r="F16">
            <v>270</v>
          </cell>
        </row>
        <row r="17">
          <cell r="E17">
            <v>13426</v>
          </cell>
          <cell r="F17">
            <v>8485</v>
          </cell>
        </row>
        <row r="18">
          <cell r="E18">
            <v>3793</v>
          </cell>
          <cell r="F18">
            <v>1762</v>
          </cell>
        </row>
        <row r="19">
          <cell r="E19">
            <v>63736</v>
          </cell>
          <cell r="F19">
            <v>41382</v>
          </cell>
        </row>
        <row r="23">
          <cell r="E23">
            <v>5404</v>
          </cell>
          <cell r="F23">
            <v>954</v>
          </cell>
        </row>
        <row r="24">
          <cell r="E24">
            <v>1387</v>
          </cell>
          <cell r="F24">
            <v>456</v>
          </cell>
        </row>
        <row r="25">
          <cell r="E25">
            <v>1399</v>
          </cell>
          <cell r="F25">
            <v>561</v>
          </cell>
        </row>
        <row r="26">
          <cell r="E26">
            <v>392</v>
          </cell>
          <cell r="F26">
            <v>0</v>
          </cell>
        </row>
        <row r="27">
          <cell r="E27">
            <v>609</v>
          </cell>
          <cell r="F27">
            <v>157</v>
          </cell>
        </row>
        <row r="28">
          <cell r="E28">
            <v>9191</v>
          </cell>
          <cell r="F28">
            <v>2128</v>
          </cell>
        </row>
      </sheetData>
      <sheetData sheetId="16">
        <row r="2">
          <cell r="E2">
            <v>7770.191</v>
          </cell>
          <cell r="F2">
            <v>4588</v>
          </cell>
        </row>
        <row r="3">
          <cell r="E3">
            <v>66469.138</v>
          </cell>
          <cell r="F3">
            <v>56847</v>
          </cell>
        </row>
        <row r="4">
          <cell r="E4">
            <v>8206.358</v>
          </cell>
          <cell r="F4">
            <v>8679</v>
          </cell>
        </row>
        <row r="5">
          <cell r="E5">
            <v>55004.012</v>
          </cell>
          <cell r="F5">
            <v>46074</v>
          </cell>
        </row>
        <row r="6">
          <cell r="E6">
            <v>33281.759</v>
          </cell>
          <cell r="F6">
            <v>21323</v>
          </cell>
        </row>
        <row r="7">
          <cell r="E7">
            <v>9995.758</v>
          </cell>
          <cell r="F7">
            <v>8154</v>
          </cell>
        </row>
        <row r="8">
          <cell r="E8">
            <v>180727.21600000001</v>
          </cell>
          <cell r="F8">
            <v>145665</v>
          </cell>
        </row>
        <row r="12">
          <cell r="E12">
            <v>214147.405</v>
          </cell>
          <cell r="F12">
            <v>186497</v>
          </cell>
        </row>
        <row r="13">
          <cell r="E13">
            <v>14250.131</v>
          </cell>
          <cell r="F13">
            <v>7236</v>
          </cell>
        </row>
        <row r="14">
          <cell r="E14">
            <v>26219.278</v>
          </cell>
          <cell r="F14">
            <v>12419</v>
          </cell>
        </row>
        <row r="15">
          <cell r="E15">
            <v>254616.81399999998</v>
          </cell>
          <cell r="F15">
            <v>206152</v>
          </cell>
        </row>
      </sheetData>
      <sheetData sheetId="17">
        <row r="2">
          <cell r="F2">
            <v>9190</v>
          </cell>
        </row>
        <row r="3">
          <cell r="F3">
            <v>49500</v>
          </cell>
        </row>
        <row r="5">
          <cell r="F5">
            <v>10685</v>
          </cell>
        </row>
        <row r="6">
          <cell r="F6">
            <v>23608</v>
          </cell>
        </row>
        <row r="7">
          <cell r="F7">
            <v>1080</v>
          </cell>
        </row>
        <row r="12">
          <cell r="F12">
            <v>94063</v>
          </cell>
        </row>
        <row r="16">
          <cell r="F16">
            <v>9646</v>
          </cell>
        </row>
        <row r="17">
          <cell r="F17">
            <v>428</v>
          </cell>
        </row>
        <row r="19">
          <cell r="F19">
            <v>10074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I26" sqref="I26"/>
    </sheetView>
  </sheetViews>
  <sheetFormatPr defaultColWidth="9.140625" defaultRowHeight="12.75"/>
  <cols>
    <col min="3" max="3" width="18.421875" style="0" customWidth="1"/>
  </cols>
  <sheetData>
    <row r="19" spans="2:7" ht="12.75">
      <c r="B19" s="3" t="s">
        <v>175</v>
      </c>
      <c r="G19" s="111" t="s">
        <v>132</v>
      </c>
    </row>
    <row r="21" spans="2:3" ht="12.75">
      <c r="B21" t="s">
        <v>62</v>
      </c>
      <c r="C21" t="s">
        <v>63</v>
      </c>
    </row>
    <row r="22" ht="12.75">
      <c r="C22" t="s">
        <v>64</v>
      </c>
    </row>
    <row r="23" ht="12.75">
      <c r="C23" t="s">
        <v>90</v>
      </c>
    </row>
    <row r="24" ht="12.75">
      <c r="C24" s="3" t="s">
        <v>118</v>
      </c>
    </row>
    <row r="26" spans="2:4" ht="12.75">
      <c r="B26" t="s">
        <v>65</v>
      </c>
      <c r="C26" t="s">
        <v>66</v>
      </c>
      <c r="D26" t="s">
        <v>67</v>
      </c>
    </row>
    <row r="27" spans="3:4" ht="12.75">
      <c r="C27" t="s">
        <v>68</v>
      </c>
      <c r="D27" t="s">
        <v>69</v>
      </c>
    </row>
    <row r="28" spans="3:4" ht="12.75">
      <c r="C28" t="s">
        <v>70</v>
      </c>
      <c r="D28" t="s">
        <v>71</v>
      </c>
    </row>
    <row r="29" spans="3:4" ht="12.75">
      <c r="C29" t="s">
        <v>72</v>
      </c>
      <c r="D29" s="3" t="s">
        <v>86</v>
      </c>
    </row>
    <row r="30" spans="3:4" ht="12.75">
      <c r="C30" s="3" t="s">
        <v>136</v>
      </c>
      <c r="D30" t="s">
        <v>73</v>
      </c>
    </row>
    <row r="31" spans="3:4" ht="12.75">
      <c r="C31" t="s">
        <v>74</v>
      </c>
      <c r="D31" t="s">
        <v>131</v>
      </c>
    </row>
    <row r="32" spans="3:4" ht="12.75">
      <c r="C32" t="s">
        <v>75</v>
      </c>
      <c r="D32" t="s">
        <v>130</v>
      </c>
    </row>
    <row r="33" spans="3:4" ht="12.75">
      <c r="C33" t="s">
        <v>76</v>
      </c>
      <c r="D33" t="s">
        <v>77</v>
      </c>
    </row>
    <row r="34" spans="3:4" ht="12.75">
      <c r="C34" t="s">
        <v>78</v>
      </c>
      <c r="D34" s="26" t="s">
        <v>85</v>
      </c>
    </row>
    <row r="35" spans="3:4" ht="12.75">
      <c r="C35" t="s">
        <v>146</v>
      </c>
      <c r="D35" s="26" t="s">
        <v>147</v>
      </c>
    </row>
    <row r="36" spans="3:4" ht="12.75">
      <c r="C36" t="s">
        <v>80</v>
      </c>
      <c r="D36" t="s">
        <v>156</v>
      </c>
    </row>
    <row r="37" spans="3:4" ht="12.75">
      <c r="C37" t="s">
        <v>79</v>
      </c>
      <c r="D37" t="s">
        <v>84</v>
      </c>
    </row>
    <row r="38" spans="3:4" ht="12.75">
      <c r="C38" t="s">
        <v>81</v>
      </c>
      <c r="D38" t="s">
        <v>83</v>
      </c>
    </row>
    <row r="39" spans="3:4" ht="12.75">
      <c r="C39" t="s">
        <v>82</v>
      </c>
      <c r="D39" s="3" t="s">
        <v>174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customWidth="1"/>
    <col min="4" max="6" width="11.28125" style="9" customWidth="1"/>
    <col min="7" max="7" width="10.140625" style="0" bestFit="1" customWidth="1"/>
    <col min="8" max="15" width="10.140625" style="9" bestFit="1" customWidth="1"/>
    <col min="16" max="17" width="10.140625" style="0" bestFit="1" customWidth="1"/>
  </cols>
  <sheetData>
    <row r="1" spans="1:17" ht="13.5" thickBot="1">
      <c r="A1" s="56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33">
        <v>39814</v>
      </c>
      <c r="P1" s="55">
        <v>39448</v>
      </c>
      <c r="Q1" s="34">
        <v>39083</v>
      </c>
    </row>
    <row r="2" spans="1:17" ht="12.75">
      <c r="A2" s="57" t="s">
        <v>4</v>
      </c>
      <c r="B2" s="64">
        <f>(E2-F2)/F2</f>
        <v>11.749287749287749</v>
      </c>
      <c r="C2" s="106">
        <f>E2-'[1]Germany'!E2</f>
        <v>-3245</v>
      </c>
      <c r="D2" s="95">
        <f>F2-'[1]Germany'!F2</f>
        <v>-1993</v>
      </c>
      <c r="E2" s="60">
        <v>8950</v>
      </c>
      <c r="F2" s="95">
        <v>702</v>
      </c>
      <c r="G2" s="95">
        <v>10881</v>
      </c>
      <c r="H2" s="95">
        <v>6198</v>
      </c>
      <c r="I2" s="95">
        <v>10233</v>
      </c>
      <c r="J2" s="95">
        <v>4143</v>
      </c>
      <c r="K2" s="95">
        <v>6189</v>
      </c>
      <c r="L2" s="95">
        <v>4003</v>
      </c>
      <c r="M2" s="95">
        <v>5189</v>
      </c>
      <c r="N2" s="95">
        <v>4306</v>
      </c>
      <c r="O2" s="95">
        <v>9183</v>
      </c>
      <c r="P2" s="54">
        <v>6943</v>
      </c>
      <c r="Q2" s="86">
        <v>10063</v>
      </c>
    </row>
    <row r="3" spans="1:17" ht="12.75">
      <c r="A3" s="57" t="s">
        <v>11</v>
      </c>
      <c r="B3" s="64">
        <f aca="true" t="shared" si="0" ref="B3:B21">(E3-F3)/F3</f>
        <v>1.188868886888689</v>
      </c>
      <c r="C3" s="106">
        <f>E3-'[1]Germany'!E3</f>
        <v>-8197</v>
      </c>
      <c r="D3" s="95">
        <f>F3-'[1]Germany'!F3</f>
        <v>-5546</v>
      </c>
      <c r="E3" s="60">
        <v>43773</v>
      </c>
      <c r="F3" s="95">
        <v>19998</v>
      </c>
      <c r="G3" s="95">
        <v>36163</v>
      </c>
      <c r="H3" s="95">
        <v>45821</v>
      </c>
      <c r="I3" s="95">
        <v>38331</v>
      </c>
      <c r="J3" s="95">
        <v>29700</v>
      </c>
      <c r="K3" s="95">
        <v>33578</v>
      </c>
      <c r="L3" s="95">
        <v>29026</v>
      </c>
      <c r="M3" s="95">
        <v>24496</v>
      </c>
      <c r="N3" s="95">
        <v>24596</v>
      </c>
      <c r="O3" s="95">
        <v>19788</v>
      </c>
      <c r="P3" s="54">
        <v>18326</v>
      </c>
      <c r="Q3" s="86">
        <v>13447</v>
      </c>
    </row>
    <row r="4" spans="1:17" ht="12.75">
      <c r="A4" s="57" t="s">
        <v>5</v>
      </c>
      <c r="B4" s="64"/>
      <c r="C4" s="106">
        <f>E4-'[1]Germany'!E4</f>
        <v>-40</v>
      </c>
      <c r="D4" s="95">
        <f>F4-'[1]Germany'!F4</f>
        <v>-61</v>
      </c>
      <c r="E4" s="60">
        <v>199</v>
      </c>
      <c r="F4" s="95">
        <v>0</v>
      </c>
      <c r="G4" s="95">
        <v>207</v>
      </c>
      <c r="H4" s="95">
        <v>537</v>
      </c>
      <c r="I4" s="95">
        <v>289</v>
      </c>
      <c r="J4" s="95">
        <v>90</v>
      </c>
      <c r="K4" s="95">
        <v>53</v>
      </c>
      <c r="L4" s="95">
        <v>478</v>
      </c>
      <c r="M4" s="95">
        <v>571</v>
      </c>
      <c r="N4" s="95">
        <v>1579</v>
      </c>
      <c r="O4" s="95">
        <v>1565</v>
      </c>
      <c r="P4" s="54">
        <v>1292</v>
      </c>
      <c r="Q4" s="86">
        <v>2818</v>
      </c>
    </row>
    <row r="5" spans="1:17" ht="12.75">
      <c r="A5" s="57" t="s">
        <v>2</v>
      </c>
      <c r="B5" s="64">
        <f t="shared" si="0"/>
        <v>0.5743386019778548</v>
      </c>
      <c r="C5" s="106">
        <f>E5-'[1]Germany'!E5</f>
        <v>-10231</v>
      </c>
      <c r="D5" s="95">
        <f>F5-'[1]Germany'!F5</f>
        <v>-8736</v>
      </c>
      <c r="E5" s="60">
        <v>55878</v>
      </c>
      <c r="F5" s="95">
        <v>35493</v>
      </c>
      <c r="G5" s="95">
        <v>55011</v>
      </c>
      <c r="H5" s="95">
        <v>61127</v>
      </c>
      <c r="I5" s="95">
        <v>70216</v>
      </c>
      <c r="J5" s="95">
        <v>46394</v>
      </c>
      <c r="K5" s="95">
        <v>50689</v>
      </c>
      <c r="L5" s="95">
        <v>56050</v>
      </c>
      <c r="M5" s="95">
        <v>44377</v>
      </c>
      <c r="N5" s="95">
        <v>65891</v>
      </c>
      <c r="O5" s="95">
        <v>43025</v>
      </c>
      <c r="P5" s="54">
        <v>57203</v>
      </c>
      <c r="Q5" s="86">
        <v>50897</v>
      </c>
    </row>
    <row r="6" spans="1:17" ht="12.75">
      <c r="A6" s="57" t="s">
        <v>12</v>
      </c>
      <c r="B6" s="64">
        <f t="shared" si="0"/>
        <v>2.4401386263390044</v>
      </c>
      <c r="C6" s="106">
        <f>E6-'[1]Germany'!E6</f>
        <v>-1087</v>
      </c>
      <c r="D6" s="95">
        <f>F6-'[1]Germany'!F6</f>
        <v>-454</v>
      </c>
      <c r="E6" s="60">
        <v>10919</v>
      </c>
      <c r="F6" s="95">
        <v>3174</v>
      </c>
      <c r="G6" s="95">
        <v>7681</v>
      </c>
      <c r="H6" s="95">
        <v>8744</v>
      </c>
      <c r="I6" s="95">
        <v>8814</v>
      </c>
      <c r="J6" s="95">
        <v>8438</v>
      </c>
      <c r="K6" s="95">
        <v>6136</v>
      </c>
      <c r="L6" s="95">
        <v>7326</v>
      </c>
      <c r="M6" s="95">
        <v>5598</v>
      </c>
      <c r="N6" s="95">
        <v>6133</v>
      </c>
      <c r="O6" s="95">
        <v>5134</v>
      </c>
      <c r="P6" s="54">
        <v>5131</v>
      </c>
      <c r="Q6" s="86">
        <v>2692</v>
      </c>
    </row>
    <row r="7" spans="1:17" ht="12.75">
      <c r="A7" s="57" t="s">
        <v>9</v>
      </c>
      <c r="B7" s="64">
        <f t="shared" si="0"/>
        <v>0.6925419647283801</v>
      </c>
      <c r="C7" s="106">
        <f>E7-'[1]Germany'!E7</f>
        <v>-4267</v>
      </c>
      <c r="D7" s="95">
        <f>F7-'[1]Germany'!F7</f>
        <v>-4097</v>
      </c>
      <c r="E7" s="60">
        <v>23897</v>
      </c>
      <c r="F7" s="95">
        <v>14119</v>
      </c>
      <c r="G7" s="95">
        <v>19721</v>
      </c>
      <c r="H7" s="95">
        <v>21277</v>
      </c>
      <c r="I7" s="95">
        <v>15451</v>
      </c>
      <c r="J7" s="95">
        <v>16700</v>
      </c>
      <c r="K7" s="95">
        <v>17448</v>
      </c>
      <c r="L7" s="95">
        <v>15911</v>
      </c>
      <c r="M7" s="95">
        <v>11699</v>
      </c>
      <c r="N7" s="95">
        <v>13704</v>
      </c>
      <c r="O7" s="95">
        <v>15431</v>
      </c>
      <c r="P7" s="54">
        <v>12795</v>
      </c>
      <c r="Q7" s="86">
        <v>10843</v>
      </c>
    </row>
    <row r="8" spans="1:17" ht="12.75">
      <c r="A8" s="57" t="s">
        <v>14</v>
      </c>
      <c r="B8" s="64">
        <f t="shared" si="0"/>
        <v>2.9043062200956937</v>
      </c>
      <c r="C8" s="106">
        <f>E8-'[1]Germany'!E8</f>
        <v>-44</v>
      </c>
      <c r="D8" s="95">
        <f>F8-'[1]Germany'!F8</f>
        <v>-160</v>
      </c>
      <c r="E8" s="60">
        <v>816</v>
      </c>
      <c r="F8" s="95">
        <v>209</v>
      </c>
      <c r="G8" s="95">
        <v>1861</v>
      </c>
      <c r="H8" s="95">
        <v>1750</v>
      </c>
      <c r="I8" s="95">
        <v>3609</v>
      </c>
      <c r="J8" s="95">
        <v>2957</v>
      </c>
      <c r="K8" s="95">
        <v>4930</v>
      </c>
      <c r="L8" s="95">
        <v>6523</v>
      </c>
      <c r="M8" s="95">
        <v>6721</v>
      </c>
      <c r="N8" s="95">
        <v>11050</v>
      </c>
      <c r="O8" s="95">
        <v>12687</v>
      </c>
      <c r="P8" s="54">
        <v>8934</v>
      </c>
      <c r="Q8" s="86">
        <v>11000</v>
      </c>
    </row>
    <row r="9" spans="1:17" ht="12.75">
      <c r="A9" s="57" t="s">
        <v>3</v>
      </c>
      <c r="B9" s="64">
        <f t="shared" si="0"/>
        <v>0.059165053912081836</v>
      </c>
      <c r="C9" s="106">
        <f>E9-'[1]Germany'!E9</f>
        <v>-420</v>
      </c>
      <c r="D9" s="95">
        <f>F9-'[1]Germany'!F9</f>
        <v>-986</v>
      </c>
      <c r="E9" s="60">
        <v>3831</v>
      </c>
      <c r="F9" s="95">
        <v>3617</v>
      </c>
      <c r="G9" s="95">
        <v>8432</v>
      </c>
      <c r="H9" s="95">
        <v>8877</v>
      </c>
      <c r="I9" s="95">
        <v>8725</v>
      </c>
      <c r="J9" s="95">
        <v>11363</v>
      </c>
      <c r="K9" s="95">
        <v>14483</v>
      </c>
      <c r="L9" s="95">
        <v>18225</v>
      </c>
      <c r="M9" s="95">
        <v>13140</v>
      </c>
      <c r="N9" s="95">
        <v>18693</v>
      </c>
      <c r="O9" s="95">
        <v>22138</v>
      </c>
      <c r="P9" s="54">
        <v>18064</v>
      </c>
      <c r="Q9" s="86">
        <v>17175</v>
      </c>
    </row>
    <row r="10" spans="1:17" ht="12.75">
      <c r="A10" s="57" t="s">
        <v>15</v>
      </c>
      <c r="B10" s="64">
        <f t="shared" si="0"/>
        <v>9.03875968992248</v>
      </c>
      <c r="C10" s="106">
        <f>E10-'[1]Germany'!E10</f>
        <v>-1278</v>
      </c>
      <c r="D10" s="95">
        <f>F10-'[1]Germany'!F10</f>
        <v>-869</v>
      </c>
      <c r="E10" s="60">
        <v>2590</v>
      </c>
      <c r="F10" s="95">
        <v>258</v>
      </c>
      <c r="G10" s="95">
        <v>2793</v>
      </c>
      <c r="H10" s="95">
        <v>3674</v>
      </c>
      <c r="I10" s="95">
        <v>3177</v>
      </c>
      <c r="J10" s="95">
        <v>637</v>
      </c>
      <c r="K10" s="95">
        <v>1168</v>
      </c>
      <c r="L10" s="95">
        <v>3843</v>
      </c>
      <c r="M10" s="95">
        <v>2936</v>
      </c>
      <c r="N10" s="95">
        <v>4614</v>
      </c>
      <c r="O10" s="95">
        <v>6728</v>
      </c>
      <c r="P10" s="54">
        <v>3889</v>
      </c>
      <c r="Q10" s="86">
        <v>6830</v>
      </c>
    </row>
    <row r="11" spans="1:18" ht="12.75">
      <c r="A11" s="57" t="s">
        <v>10</v>
      </c>
      <c r="B11" s="64">
        <f t="shared" si="0"/>
        <v>0.05666156202143951</v>
      </c>
      <c r="C11" s="106">
        <f>E11-'[1]Germany'!E11</f>
        <v>-98</v>
      </c>
      <c r="D11" s="95">
        <f>F11-'[1]Germany'!F11</f>
        <v>-210</v>
      </c>
      <c r="E11" s="60">
        <v>8970</v>
      </c>
      <c r="F11" s="95">
        <v>8489</v>
      </c>
      <c r="G11" s="95">
        <v>11363</v>
      </c>
      <c r="H11" s="95">
        <v>16732</v>
      </c>
      <c r="I11" s="95">
        <v>11248</v>
      </c>
      <c r="J11" s="95">
        <v>22260</v>
      </c>
      <c r="K11" s="95">
        <v>23329</v>
      </c>
      <c r="L11" s="95">
        <v>23287</v>
      </c>
      <c r="M11" s="95">
        <v>20909</v>
      </c>
      <c r="N11" s="95">
        <v>26370</v>
      </c>
      <c r="O11" s="95">
        <v>25999</v>
      </c>
      <c r="P11" s="54">
        <v>18367</v>
      </c>
      <c r="Q11" s="86">
        <v>26223</v>
      </c>
      <c r="R11" s="1"/>
    </row>
    <row r="12" spans="1:18" ht="12.75">
      <c r="A12" s="57" t="s">
        <v>99</v>
      </c>
      <c r="B12" s="64">
        <f t="shared" si="0"/>
        <v>1.2413793103448276</v>
      </c>
      <c r="C12" s="106">
        <f>E12-'[1]Germany'!E12</f>
        <v>0</v>
      </c>
      <c r="D12" s="95">
        <f>F12-'[1]Germany'!F12</f>
        <v>-105</v>
      </c>
      <c r="E12" s="60">
        <v>195</v>
      </c>
      <c r="F12" s="95">
        <v>87</v>
      </c>
      <c r="G12" s="95">
        <v>0</v>
      </c>
      <c r="H12" s="95">
        <v>177</v>
      </c>
      <c r="I12" s="95">
        <v>44</v>
      </c>
      <c r="J12" s="95">
        <v>65</v>
      </c>
      <c r="K12" s="95">
        <v>11</v>
      </c>
      <c r="L12" s="95">
        <v>15</v>
      </c>
      <c r="M12" s="95">
        <v>161</v>
      </c>
      <c r="N12" s="95">
        <v>267</v>
      </c>
      <c r="O12" s="95">
        <v>908</v>
      </c>
      <c r="P12" s="54">
        <v>376</v>
      </c>
      <c r="Q12" s="86">
        <v>247</v>
      </c>
      <c r="R12" s="1"/>
    </row>
    <row r="13" spans="1:18" ht="12.75">
      <c r="A13" s="57" t="s">
        <v>27</v>
      </c>
      <c r="B13" s="64">
        <f t="shared" si="0"/>
        <v>1.5369620253164558</v>
      </c>
      <c r="C13" s="106">
        <f>E13-'[1]Germany'!E13</f>
        <v>-2271</v>
      </c>
      <c r="D13" s="95">
        <f>F13-'[1]Germany'!F13</f>
        <v>-972</v>
      </c>
      <c r="E13" s="60">
        <v>30063</v>
      </c>
      <c r="F13" s="95">
        <v>11850</v>
      </c>
      <c r="G13" s="95">
        <v>32769</v>
      </c>
      <c r="H13" s="95">
        <v>28301</v>
      </c>
      <c r="I13" s="95">
        <v>37311</v>
      </c>
      <c r="J13" s="95">
        <v>30283</v>
      </c>
      <c r="K13" s="95">
        <v>39359</v>
      </c>
      <c r="L13" s="95">
        <v>48415</v>
      </c>
      <c r="M13" s="95">
        <v>37978</v>
      </c>
      <c r="N13" s="95">
        <v>55500</v>
      </c>
      <c r="O13" s="95">
        <v>51152</v>
      </c>
      <c r="P13" s="54">
        <v>53427</v>
      </c>
      <c r="Q13" s="86">
        <v>50691</v>
      </c>
      <c r="R13" s="1"/>
    </row>
    <row r="14" spans="1:17" ht="12.75">
      <c r="A14" s="57" t="s">
        <v>26</v>
      </c>
      <c r="B14" s="64">
        <f t="shared" si="0"/>
        <v>1.0646873378825972</v>
      </c>
      <c r="C14" s="106">
        <f>E14-'[1]Germany'!E14</f>
        <v>-2178</v>
      </c>
      <c r="D14" s="95">
        <f>F14-'[1]Germany'!F14</f>
        <v>-1651</v>
      </c>
      <c r="E14" s="60">
        <v>51739</v>
      </c>
      <c r="F14" s="95">
        <v>25059</v>
      </c>
      <c r="G14" s="95">
        <v>57460</v>
      </c>
      <c r="H14" s="95">
        <v>54730</v>
      </c>
      <c r="I14" s="95">
        <v>69694</v>
      </c>
      <c r="J14" s="95">
        <v>46306</v>
      </c>
      <c r="K14" s="95">
        <v>64981</v>
      </c>
      <c r="L14" s="95">
        <v>71801</v>
      </c>
      <c r="M14" s="95">
        <v>55219</v>
      </c>
      <c r="N14" s="95">
        <v>78075</v>
      </c>
      <c r="O14" s="95">
        <v>63326</v>
      </c>
      <c r="P14" s="54">
        <v>57751</v>
      </c>
      <c r="Q14" s="86">
        <v>59613</v>
      </c>
    </row>
    <row r="15" spans="1:17" ht="12.75">
      <c r="A15" s="57" t="s">
        <v>13</v>
      </c>
      <c r="B15" s="64">
        <f t="shared" si="0"/>
        <v>0.3999457700650759</v>
      </c>
      <c r="C15" s="106">
        <f>E15-'[1]Germany'!E15</f>
        <v>-925</v>
      </c>
      <c r="D15" s="95">
        <f>F15-'[1]Germany'!F15</f>
        <v>-789</v>
      </c>
      <c r="E15" s="60">
        <v>10326</v>
      </c>
      <c r="F15" s="95">
        <v>7376</v>
      </c>
      <c r="G15" s="95">
        <v>12445</v>
      </c>
      <c r="H15" s="95">
        <v>12859</v>
      </c>
      <c r="I15" s="95">
        <v>13957</v>
      </c>
      <c r="J15" s="95">
        <v>11552</v>
      </c>
      <c r="K15" s="95">
        <v>13351</v>
      </c>
      <c r="L15" s="95">
        <v>11815</v>
      </c>
      <c r="M15" s="95">
        <v>9561</v>
      </c>
      <c r="N15" s="95">
        <v>12276</v>
      </c>
      <c r="O15" s="95">
        <v>10148</v>
      </c>
      <c r="P15" s="54">
        <v>9368</v>
      </c>
      <c r="Q15" s="86">
        <v>7842</v>
      </c>
    </row>
    <row r="16" spans="1:17" ht="12.75">
      <c r="A16" s="57" t="s">
        <v>134</v>
      </c>
      <c r="B16" s="64">
        <f t="shared" si="0"/>
        <v>0.6844453306083792</v>
      </c>
      <c r="C16" s="106">
        <f>E16-'[1]Germany'!E16</f>
        <v>-3798</v>
      </c>
      <c r="D16" s="95">
        <f>F16-'[1]Germany'!F16</f>
        <v>-1473</v>
      </c>
      <c r="E16" s="60">
        <v>67585</v>
      </c>
      <c r="F16" s="95">
        <v>40123</v>
      </c>
      <c r="G16" s="95">
        <v>57760</v>
      </c>
      <c r="H16" s="95">
        <v>34212</v>
      </c>
      <c r="I16" s="95">
        <v>40062</v>
      </c>
      <c r="J16" s="95">
        <v>17831</v>
      </c>
      <c r="K16" s="95">
        <v>27548</v>
      </c>
      <c r="L16" s="95">
        <v>21401</v>
      </c>
      <c r="M16" s="95">
        <v>15763</v>
      </c>
      <c r="N16" s="95">
        <v>18185</v>
      </c>
      <c r="O16" s="95">
        <v>12629</v>
      </c>
      <c r="P16" s="54">
        <v>11685</v>
      </c>
      <c r="Q16" s="86">
        <v>5828</v>
      </c>
    </row>
    <row r="17" spans="1:19" s="16" customFormat="1" ht="12.75">
      <c r="A17" s="57" t="s">
        <v>89</v>
      </c>
      <c r="B17" s="64">
        <f t="shared" si="0"/>
        <v>-0.19098309329993737</v>
      </c>
      <c r="C17" s="106">
        <f>E17-'[1]Germany'!E17</f>
        <v>-559</v>
      </c>
      <c r="D17" s="95">
        <f>F17-'[1]Germany'!F17</f>
        <v>-1100</v>
      </c>
      <c r="E17" s="60">
        <v>1292</v>
      </c>
      <c r="F17" s="95">
        <v>1597</v>
      </c>
      <c r="G17" s="95">
        <v>3679</v>
      </c>
      <c r="H17" s="95">
        <v>2612</v>
      </c>
      <c r="I17" s="95">
        <v>2717</v>
      </c>
      <c r="J17" s="95">
        <v>660</v>
      </c>
      <c r="K17" s="95">
        <v>3690</v>
      </c>
      <c r="L17" s="95">
        <v>3144</v>
      </c>
      <c r="M17" s="95">
        <v>2020</v>
      </c>
      <c r="N17" s="95">
        <v>2932</v>
      </c>
      <c r="O17" s="95">
        <v>2145</v>
      </c>
      <c r="P17" s="54">
        <v>2218</v>
      </c>
      <c r="Q17" s="86">
        <v>1702</v>
      </c>
      <c r="S17"/>
    </row>
    <row r="18" spans="1:17" ht="12.75">
      <c r="A18" s="57" t="s">
        <v>96</v>
      </c>
      <c r="B18" s="64">
        <f t="shared" si="0"/>
        <v>4.21</v>
      </c>
      <c r="C18" s="106">
        <f>E18-'[1]Germany'!E18</f>
        <v>-353</v>
      </c>
      <c r="D18" s="95">
        <f>F18-'[1]Germany'!F18</f>
        <v>-157</v>
      </c>
      <c r="E18" s="60">
        <v>2605</v>
      </c>
      <c r="F18" s="95">
        <v>500</v>
      </c>
      <c r="G18" s="95">
        <v>1193</v>
      </c>
      <c r="H18" s="95">
        <v>1897</v>
      </c>
      <c r="I18" s="95">
        <v>2154</v>
      </c>
      <c r="J18" s="95">
        <v>2115</v>
      </c>
      <c r="K18" s="95">
        <v>1890</v>
      </c>
      <c r="L18" s="95">
        <v>2233</v>
      </c>
      <c r="M18" s="95">
        <v>1863</v>
      </c>
      <c r="N18" s="95">
        <v>1722</v>
      </c>
      <c r="O18" s="95">
        <v>1571</v>
      </c>
      <c r="P18" s="54">
        <v>1829</v>
      </c>
      <c r="Q18" s="86">
        <v>1008</v>
      </c>
    </row>
    <row r="19" spans="1:17" ht="12.75">
      <c r="A19" s="57" t="s">
        <v>143</v>
      </c>
      <c r="B19" s="64">
        <f t="shared" si="0"/>
        <v>1.151774986346259</v>
      </c>
      <c r="C19" s="106">
        <f>E19-'[1]Germany'!E19</f>
        <v>-3656</v>
      </c>
      <c r="D19" s="95">
        <f>F19-'[1]Germany'!F19</f>
        <v>-2220</v>
      </c>
      <c r="E19" s="60">
        <v>39399</v>
      </c>
      <c r="F19" s="95">
        <v>18310</v>
      </c>
      <c r="G19" s="95">
        <v>28189</v>
      </c>
      <c r="H19" s="95">
        <v>25928</v>
      </c>
      <c r="I19" s="95">
        <v>27091</v>
      </c>
      <c r="J19" s="95">
        <v>17417</v>
      </c>
      <c r="K19" s="95">
        <v>15770</v>
      </c>
      <c r="L19" s="95">
        <v>13564</v>
      </c>
      <c r="M19" s="95">
        <v>7333</v>
      </c>
      <c r="N19" s="95">
        <v>7667</v>
      </c>
      <c r="O19" s="95">
        <v>2450</v>
      </c>
      <c r="P19" s="54">
        <v>3009</v>
      </c>
      <c r="Q19" s="86">
        <v>1385</v>
      </c>
    </row>
    <row r="20" spans="1:17" ht="13.5" thickBot="1">
      <c r="A20" s="58" t="s">
        <v>6</v>
      </c>
      <c r="B20" s="65">
        <f t="shared" si="0"/>
        <v>1.5220282626766417</v>
      </c>
      <c r="C20" s="106">
        <f>E20-'[1]Germany'!E20</f>
        <v>-1944</v>
      </c>
      <c r="D20" s="95">
        <f>F20-'[1]Germany'!F20</f>
        <v>-822</v>
      </c>
      <c r="E20" s="60">
        <v>6068</v>
      </c>
      <c r="F20" s="95">
        <v>2406</v>
      </c>
      <c r="G20" s="96">
        <v>6098</v>
      </c>
      <c r="H20" s="96">
        <v>4724</v>
      </c>
      <c r="I20" s="96">
        <v>7480</v>
      </c>
      <c r="J20" s="96">
        <v>5569</v>
      </c>
      <c r="K20" s="96">
        <v>6200</v>
      </c>
      <c r="L20" s="96">
        <v>6281</v>
      </c>
      <c r="M20" s="96">
        <v>5996</v>
      </c>
      <c r="N20" s="96">
        <v>7986</v>
      </c>
      <c r="O20" s="96">
        <v>7741</v>
      </c>
      <c r="P20" s="53">
        <v>5571</v>
      </c>
      <c r="Q20" s="87">
        <v>5493</v>
      </c>
    </row>
    <row r="21" spans="1:17" ht="13.5" thickBot="1">
      <c r="A21" s="59" t="s">
        <v>92</v>
      </c>
      <c r="B21" s="110">
        <f t="shared" si="0"/>
        <v>0.9087796780215859</v>
      </c>
      <c r="C21" s="93">
        <f>E21-'[1]Germany'!E21</f>
        <v>-44591</v>
      </c>
      <c r="D21" s="130">
        <f>F21-'[1]Germany'!F21</f>
        <v>-32401</v>
      </c>
      <c r="E21" s="62">
        <f>SUM(E2:E20)</f>
        <v>369095</v>
      </c>
      <c r="F21" s="130">
        <f aca="true" t="shared" si="1" ref="F21:K21">SUM(F2:F20)</f>
        <v>193367</v>
      </c>
      <c r="G21" s="130">
        <f t="shared" si="1"/>
        <v>353706</v>
      </c>
      <c r="H21" s="130">
        <f t="shared" si="1"/>
        <v>340177</v>
      </c>
      <c r="I21" s="130">
        <f t="shared" si="1"/>
        <v>370603</v>
      </c>
      <c r="J21" s="130">
        <f t="shared" si="1"/>
        <v>274480</v>
      </c>
      <c r="K21" s="130">
        <f t="shared" si="1"/>
        <v>330803</v>
      </c>
      <c r="L21" s="130">
        <f aca="true" t="shared" si="2" ref="L21:Q21">SUM(L2:L20)</f>
        <v>343341</v>
      </c>
      <c r="M21" s="130">
        <f t="shared" si="2"/>
        <v>271530</v>
      </c>
      <c r="N21" s="130">
        <f t="shared" si="2"/>
        <v>361546</v>
      </c>
      <c r="O21" s="130">
        <f t="shared" si="2"/>
        <v>313748</v>
      </c>
      <c r="P21" s="63">
        <f t="shared" si="2"/>
        <v>296178</v>
      </c>
      <c r="Q21" s="43">
        <f t="shared" si="2"/>
        <v>285797</v>
      </c>
    </row>
    <row r="22" ht="12.75">
      <c r="G22" s="9"/>
    </row>
    <row r="23" spans="2:17" ht="13.5" thickBot="1">
      <c r="B23" s="3"/>
      <c r="C23" s="3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3"/>
      <c r="Q23" s="3"/>
    </row>
    <row r="24" spans="1:17" s="73" customFormat="1" ht="13.5" thickBot="1">
      <c r="A24" s="71" t="s">
        <v>25</v>
      </c>
      <c r="B24" s="32" t="s">
        <v>177</v>
      </c>
      <c r="C24" s="66" t="s">
        <v>176</v>
      </c>
      <c r="D24" s="112" t="s">
        <v>173</v>
      </c>
      <c r="E24" s="171">
        <v>43466</v>
      </c>
      <c r="F24" s="33">
        <v>43101</v>
      </c>
      <c r="G24" s="33">
        <v>42736</v>
      </c>
      <c r="H24" s="119">
        <f>H1</f>
        <v>42370</v>
      </c>
      <c r="I24" s="119">
        <f>I1</f>
        <v>42005</v>
      </c>
      <c r="J24" s="119">
        <v>41640</v>
      </c>
      <c r="K24" s="119">
        <v>41275</v>
      </c>
      <c r="L24" s="119">
        <v>40909</v>
      </c>
      <c r="M24" s="119">
        <v>40544</v>
      </c>
      <c r="N24" s="119">
        <v>40179</v>
      </c>
      <c r="O24" s="119">
        <v>39814</v>
      </c>
      <c r="P24" s="72">
        <v>39448</v>
      </c>
      <c r="Q24" s="88">
        <v>39083</v>
      </c>
    </row>
    <row r="25" spans="1:17" s="70" customFormat="1" ht="13.5" thickBot="1">
      <c r="A25" s="78" t="s">
        <v>6</v>
      </c>
      <c r="B25" s="134">
        <f>(E25-F25)/F25</f>
        <v>0.4635521546516311</v>
      </c>
      <c r="C25" s="105">
        <f>E25-'[1]Germany'!E25</f>
        <v>-1406</v>
      </c>
      <c r="D25" s="101">
        <f>F25-'[1]Germany'!F25</f>
        <v>-738</v>
      </c>
      <c r="E25" s="80">
        <v>3634</v>
      </c>
      <c r="F25" s="101">
        <v>2483</v>
      </c>
      <c r="G25" s="101">
        <v>1744</v>
      </c>
      <c r="H25" s="101">
        <v>3912</v>
      </c>
      <c r="I25" s="101">
        <v>2382</v>
      </c>
      <c r="J25" s="101">
        <v>3393</v>
      </c>
      <c r="K25" s="101">
        <v>785</v>
      </c>
      <c r="L25" s="101">
        <v>3009</v>
      </c>
      <c r="M25" s="101">
        <v>1969</v>
      </c>
      <c r="N25" s="101">
        <v>2747</v>
      </c>
      <c r="O25" s="101">
        <v>914</v>
      </c>
      <c r="P25" s="81">
        <v>1174</v>
      </c>
      <c r="Q25" s="90">
        <v>1021</v>
      </c>
    </row>
    <row r="26" spans="1:17" s="70" customFormat="1" ht="13.5" thickBot="1">
      <c r="A26" s="82" t="s">
        <v>92</v>
      </c>
      <c r="B26" s="83">
        <f>(E26-F26)/F26</f>
        <v>0.4635521546516311</v>
      </c>
      <c r="C26" s="123">
        <f>E26-'[1]Germany'!E26</f>
        <v>-1406</v>
      </c>
      <c r="D26" s="120">
        <f>F26-'[1]Germany'!F26</f>
        <v>-738</v>
      </c>
      <c r="E26" s="84">
        <f>SUM(E25)</f>
        <v>3634</v>
      </c>
      <c r="F26" s="120">
        <v>2483</v>
      </c>
      <c r="G26" s="120">
        <f>SUM(G25)</f>
        <v>1744</v>
      </c>
      <c r="H26" s="120">
        <f>SUM(H25)</f>
        <v>3912</v>
      </c>
      <c r="I26" s="120">
        <f>SUM(I25)</f>
        <v>2382</v>
      </c>
      <c r="J26" s="120">
        <f aca="true" t="shared" si="3" ref="J26:Q26">SUM(J25)</f>
        <v>3393</v>
      </c>
      <c r="K26" s="120">
        <f t="shared" si="3"/>
        <v>785</v>
      </c>
      <c r="L26" s="120">
        <f t="shared" si="3"/>
        <v>3009</v>
      </c>
      <c r="M26" s="120">
        <f t="shared" si="3"/>
        <v>1969</v>
      </c>
      <c r="N26" s="120">
        <f t="shared" si="3"/>
        <v>2747</v>
      </c>
      <c r="O26" s="120">
        <f t="shared" si="3"/>
        <v>914</v>
      </c>
      <c r="P26" s="85">
        <f t="shared" si="3"/>
        <v>1174</v>
      </c>
      <c r="Q26" s="91">
        <f t="shared" si="3"/>
        <v>1021</v>
      </c>
    </row>
    <row r="27" spans="4:15" s="70" customFormat="1" ht="12.75">
      <c r="D27" s="132"/>
      <c r="E27" s="132"/>
      <c r="F27" s="132"/>
      <c r="H27" s="132"/>
      <c r="I27" s="132"/>
      <c r="J27" s="132"/>
      <c r="K27" s="132"/>
      <c r="L27" s="132"/>
      <c r="M27" s="132"/>
      <c r="N27" s="132"/>
      <c r="O27" s="132"/>
    </row>
    <row r="28" spans="1:15" s="70" customFormat="1" ht="12.75">
      <c r="A28" s="73"/>
      <c r="D28" s="132"/>
      <c r="E28" s="132"/>
      <c r="F28" s="132"/>
      <c r="H28" s="132"/>
      <c r="I28" s="132"/>
      <c r="J28" s="132"/>
      <c r="K28" s="132"/>
      <c r="L28" s="132"/>
      <c r="M28" s="132"/>
      <c r="N28" s="132"/>
      <c r="O28" s="132"/>
    </row>
    <row r="29" spans="4:15" s="70" customFormat="1" ht="12.75">
      <c r="D29" s="132"/>
      <c r="E29" s="132"/>
      <c r="F29" s="132"/>
      <c r="H29" s="132"/>
      <c r="I29" s="132"/>
      <c r="J29" s="132"/>
      <c r="K29" s="132"/>
      <c r="L29" s="132"/>
      <c r="M29" s="132"/>
      <c r="N29" s="132"/>
      <c r="O29" s="132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5" width="11.421875" style="0" customWidth="1"/>
    <col min="6" max="6" width="11.421875" style="9" customWidth="1"/>
    <col min="7" max="7" width="10.140625" style="0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40544</v>
      </c>
      <c r="M1" s="33">
        <v>40544</v>
      </c>
      <c r="N1" s="33">
        <v>40179</v>
      </c>
      <c r="O1" s="33">
        <v>39814</v>
      </c>
      <c r="P1" s="33">
        <v>39448</v>
      </c>
      <c r="Q1" s="34">
        <v>39083</v>
      </c>
    </row>
    <row r="2" spans="1:17" ht="12.75">
      <c r="A2" s="27" t="s">
        <v>20</v>
      </c>
      <c r="B2" s="35">
        <f>(E2-F2)/F2</f>
        <v>0.25</v>
      </c>
      <c r="C2" s="67">
        <f>E2-'[1]Italy'!E2</f>
        <v>-12500</v>
      </c>
      <c r="D2" s="13">
        <f>F2-'[1]Italy'!F2</f>
        <v>-8000</v>
      </c>
      <c r="E2" s="149">
        <v>12500</v>
      </c>
      <c r="F2" s="13">
        <v>10000</v>
      </c>
      <c r="G2" s="13">
        <v>10000</v>
      </c>
      <c r="H2" s="13">
        <v>10000</v>
      </c>
      <c r="I2" s="13">
        <v>12268</v>
      </c>
      <c r="J2" s="13">
        <v>0</v>
      </c>
      <c r="K2" s="13">
        <v>10026.64763264335</v>
      </c>
      <c r="L2" s="13">
        <v>10023.029633543058</v>
      </c>
      <c r="M2" s="13">
        <v>10037.820628073821</v>
      </c>
      <c r="N2" s="13">
        <v>10000</v>
      </c>
      <c r="O2" s="13">
        <v>15000</v>
      </c>
      <c r="P2" s="13">
        <v>15000</v>
      </c>
      <c r="Q2" s="37">
        <v>20000</v>
      </c>
    </row>
    <row r="3" spans="1:17" ht="12.75">
      <c r="A3" s="27" t="s">
        <v>11</v>
      </c>
      <c r="B3" s="35">
        <f aca="true" t="shared" si="0" ref="B3:B20">(E3-F3)/F3</f>
        <v>0.25756286950148927</v>
      </c>
      <c r="C3" s="67">
        <f>E3-'[1]Italy'!E3</f>
        <v>-2215.6300000000047</v>
      </c>
      <c r="D3" s="13">
        <f>F3-'[1]Italy'!F3</f>
        <v>-3520.189999999995</v>
      </c>
      <c r="E3" s="149">
        <v>49985.369999999995</v>
      </c>
      <c r="F3" s="13">
        <v>39747.810000000005</v>
      </c>
      <c r="G3" s="13">
        <v>61388.3</v>
      </c>
      <c r="H3" s="13">
        <v>55844.7</v>
      </c>
      <c r="I3" s="13">
        <v>61453</v>
      </c>
      <c r="J3" s="13">
        <v>61856</v>
      </c>
      <c r="K3" s="13">
        <v>51566.04610992149</v>
      </c>
      <c r="L3" s="13">
        <v>67571.25657749387</v>
      </c>
      <c r="M3" s="13">
        <v>62949.180722776546</v>
      </c>
      <c r="N3" s="13">
        <v>62943</v>
      </c>
      <c r="O3" s="13">
        <v>58641</v>
      </c>
      <c r="P3" s="13">
        <v>63953</v>
      </c>
      <c r="Q3" s="37">
        <v>50583</v>
      </c>
    </row>
    <row r="4" spans="1:17" ht="12.75">
      <c r="A4" s="27" t="s">
        <v>61</v>
      </c>
      <c r="B4" s="35">
        <f t="shared" si="0"/>
        <v>0.10443537841025823</v>
      </c>
      <c r="C4" s="67">
        <f>E4-'[1]Italy'!E4</f>
        <v>-4794.6600000000035</v>
      </c>
      <c r="D4" s="13">
        <f>F4-'[1]Italy'!F4</f>
        <v>-10669.11</v>
      </c>
      <c r="E4" s="149">
        <v>82386.34</v>
      </c>
      <c r="F4" s="13">
        <v>74595.89</v>
      </c>
      <c r="G4" s="13">
        <v>83572.2</v>
      </c>
      <c r="H4" s="13">
        <v>56832.8</v>
      </c>
      <c r="I4" s="13">
        <v>78950</v>
      </c>
      <c r="J4" s="13">
        <v>47728</v>
      </c>
      <c r="K4" s="13">
        <v>49490.53004996431</v>
      </c>
      <c r="L4" s="13">
        <v>67824.83922722252</v>
      </c>
      <c r="M4" s="13">
        <v>44274.81922630801</v>
      </c>
      <c r="N4" s="13"/>
      <c r="O4" s="13"/>
      <c r="P4" s="13"/>
      <c r="Q4" s="37"/>
    </row>
    <row r="5" spans="1:17" ht="12.75">
      <c r="A5" s="27" t="s">
        <v>2</v>
      </c>
      <c r="B5" s="35"/>
      <c r="C5" s="67">
        <f>E5-'[1]Italy'!E5</f>
        <v>-1</v>
      </c>
      <c r="D5" s="13">
        <f>F5-'[1]Italy'!F5</f>
        <v>0</v>
      </c>
      <c r="E5" s="149">
        <v>0</v>
      </c>
      <c r="F5" s="13">
        <v>0</v>
      </c>
      <c r="G5" s="13">
        <v>0</v>
      </c>
      <c r="H5" s="13">
        <v>2</v>
      </c>
      <c r="I5" s="13">
        <v>24</v>
      </c>
      <c r="J5" s="13">
        <v>10</v>
      </c>
      <c r="K5" s="13">
        <v>4.01065905305734</v>
      </c>
      <c r="L5" s="13">
        <v>64.14738965467556</v>
      </c>
      <c r="M5" s="13">
        <v>0</v>
      </c>
      <c r="N5" s="13">
        <v>144</v>
      </c>
      <c r="O5" s="13">
        <v>68</v>
      </c>
      <c r="P5" s="13">
        <v>101</v>
      </c>
      <c r="Q5" s="37">
        <v>177</v>
      </c>
    </row>
    <row r="6" spans="1:17" ht="12.75">
      <c r="A6" s="27" t="s">
        <v>12</v>
      </c>
      <c r="B6" s="35">
        <f t="shared" si="0"/>
        <v>0.24905305326467655</v>
      </c>
      <c r="C6" s="67">
        <f>E6-'[1]Italy'!E6</f>
        <v>-10114.479999999996</v>
      </c>
      <c r="D6" s="13">
        <f>F6-'[1]Italy'!F6</f>
        <v>-13054.746811899575</v>
      </c>
      <c r="E6" s="149">
        <v>111519.52</v>
      </c>
      <c r="F6" s="13">
        <v>89283.25318810043</v>
      </c>
      <c r="G6" s="13">
        <v>111212.34999999999</v>
      </c>
      <c r="H6" s="13">
        <v>128129.09</v>
      </c>
      <c r="I6" s="13">
        <v>125507</v>
      </c>
      <c r="J6" s="13">
        <v>117270</v>
      </c>
      <c r="K6" s="13">
        <v>76889.34737092553</v>
      </c>
      <c r="L6" s="13">
        <v>105009.2768647039</v>
      </c>
      <c r="M6" s="13">
        <v>110675.00268101634</v>
      </c>
      <c r="N6" s="13">
        <v>95997</v>
      </c>
      <c r="O6" s="13">
        <v>85150</v>
      </c>
      <c r="P6" s="13">
        <v>77287</v>
      </c>
      <c r="Q6" s="37">
        <v>64567</v>
      </c>
    </row>
    <row r="7" spans="1:17" ht="12.75">
      <c r="A7" s="27" t="s">
        <v>9</v>
      </c>
      <c r="B7" s="35">
        <f t="shared" si="0"/>
        <v>0.7762524417397574</v>
      </c>
      <c r="C7" s="67">
        <f>E7-'[1]Italy'!E7</f>
        <v>-30019.029999999984</v>
      </c>
      <c r="D7" s="13">
        <f>F7-'[1]Italy'!F7</f>
        <v>-28112.25031776502</v>
      </c>
      <c r="E7" s="149">
        <v>109755.97000000002</v>
      </c>
      <c r="F7" s="13">
        <v>61790.74968223498</v>
      </c>
      <c r="G7" s="13">
        <v>82682.45999999999</v>
      </c>
      <c r="H7" s="13">
        <v>72539.41999999998</v>
      </c>
      <c r="I7" s="13">
        <v>77858</v>
      </c>
      <c r="J7" s="13">
        <v>70792</v>
      </c>
      <c r="K7" s="13">
        <v>58299.94266000476</v>
      </c>
      <c r="L7" s="13">
        <v>84611.40925748042</v>
      </c>
      <c r="M7" s="13">
        <v>83143.26826233546</v>
      </c>
      <c r="N7" s="13">
        <v>87197</v>
      </c>
      <c r="O7" s="13">
        <v>85084</v>
      </c>
      <c r="P7" s="13">
        <v>70982</v>
      </c>
      <c r="Q7" s="37">
        <v>55412</v>
      </c>
    </row>
    <row r="8" spans="1:17" ht="12.75">
      <c r="A8" s="27" t="s">
        <v>14</v>
      </c>
      <c r="B8" s="35">
        <f t="shared" si="0"/>
        <v>-0.54375</v>
      </c>
      <c r="C8" s="67">
        <f>E8-'[1]Italy'!E8</f>
        <v>1.2999999999999998</v>
      </c>
      <c r="D8" s="13">
        <f>F8-'[1]Italy'!F8</f>
        <v>-2</v>
      </c>
      <c r="E8" s="149">
        <v>7.3</v>
      </c>
      <c r="F8" s="13">
        <v>16</v>
      </c>
      <c r="G8" s="13">
        <v>23</v>
      </c>
      <c r="H8" s="13">
        <v>17</v>
      </c>
      <c r="I8" s="13">
        <v>18</v>
      </c>
      <c r="J8" s="13">
        <v>30</v>
      </c>
      <c r="K8" s="13">
        <v>29.077278134665715</v>
      </c>
      <c r="L8" s="13">
        <v>35.0806037174007</v>
      </c>
      <c r="M8" s="13">
        <v>0</v>
      </c>
      <c r="N8" s="13">
        <v>230</v>
      </c>
      <c r="O8" s="13">
        <v>361</v>
      </c>
      <c r="P8" s="13">
        <v>326</v>
      </c>
      <c r="Q8" s="37">
        <v>438</v>
      </c>
    </row>
    <row r="9" spans="1:17" ht="12.75">
      <c r="A9" s="29" t="s">
        <v>3</v>
      </c>
      <c r="B9" s="35">
        <f t="shared" si="0"/>
        <v>0.7523019409966484</v>
      </c>
      <c r="C9" s="67">
        <f>E9-'[1]Italy'!E9</f>
        <v>-37128</v>
      </c>
      <c r="D9" s="13">
        <f>F9-'[1]Italy'!F9</f>
        <v>-38804</v>
      </c>
      <c r="E9" s="149">
        <v>570921</v>
      </c>
      <c r="F9" s="13">
        <v>325812</v>
      </c>
      <c r="G9" s="113">
        <v>644473</v>
      </c>
      <c r="H9" s="113">
        <v>641228.11</v>
      </c>
      <c r="I9" s="113">
        <v>679519</v>
      </c>
      <c r="J9" s="113">
        <v>592425</v>
      </c>
      <c r="K9" s="113">
        <v>581082.3315726862</v>
      </c>
      <c r="L9" s="113">
        <v>640643.9896930984</v>
      </c>
      <c r="M9" s="113">
        <v>636094.6856369125</v>
      </c>
      <c r="N9" s="113">
        <v>649329</v>
      </c>
      <c r="O9" s="113">
        <v>654120</v>
      </c>
      <c r="P9" s="13">
        <v>598851</v>
      </c>
      <c r="Q9" s="37">
        <v>594079</v>
      </c>
    </row>
    <row r="10" spans="1:17" ht="12.75">
      <c r="A10" s="29" t="s">
        <v>17</v>
      </c>
      <c r="B10" s="35">
        <f t="shared" si="0"/>
        <v>0.03550347321987163</v>
      </c>
      <c r="C10" s="67">
        <f>E10-'[1]Italy'!E10</f>
        <v>-10376.87999999999</v>
      </c>
      <c r="D10" s="13">
        <f>F10-'[1]Italy'!F10</f>
        <v>-11227.493722444255</v>
      </c>
      <c r="E10" s="149">
        <v>91454.12000000001</v>
      </c>
      <c r="F10" s="13">
        <v>88318.50627755575</v>
      </c>
      <c r="G10" s="113">
        <v>82697.455</v>
      </c>
      <c r="H10" s="113">
        <v>93605.6</v>
      </c>
      <c r="I10" s="113">
        <v>102875</v>
      </c>
      <c r="J10" s="113">
        <v>83129</v>
      </c>
      <c r="K10" s="113">
        <v>53180.336378777065</v>
      </c>
      <c r="L10" s="113">
        <v>67455.99173670814</v>
      </c>
      <c r="M10" s="113">
        <v>68310.38072023078</v>
      </c>
      <c r="N10" s="113">
        <v>65828</v>
      </c>
      <c r="O10" s="113">
        <v>62856</v>
      </c>
      <c r="P10" s="13">
        <v>58104</v>
      </c>
      <c r="Q10" s="37">
        <v>61658</v>
      </c>
    </row>
    <row r="11" spans="1:17" ht="12.75">
      <c r="A11" s="29" t="s">
        <v>10</v>
      </c>
      <c r="B11" s="35">
        <f t="shared" si="0"/>
        <v>-0.22400990099009901</v>
      </c>
      <c r="C11" s="67">
        <f>E11-'[1]Italy'!E11</f>
        <v>-4</v>
      </c>
      <c r="D11" s="13">
        <f>F11-'[1]Italy'!F11</f>
        <v>-7</v>
      </c>
      <c r="E11" s="149">
        <v>627</v>
      </c>
      <c r="F11" s="13">
        <v>808</v>
      </c>
      <c r="G11" s="113">
        <v>651</v>
      </c>
      <c r="H11" s="113">
        <v>1419.3</v>
      </c>
      <c r="I11" s="113">
        <v>656</v>
      </c>
      <c r="J11" s="113">
        <v>2156</v>
      </c>
      <c r="K11" s="113">
        <v>2041.425458006186</v>
      </c>
      <c r="L11" s="113">
        <v>2079.7786489601845</v>
      </c>
      <c r="M11" s="113">
        <v>0</v>
      </c>
      <c r="N11" s="113">
        <v>2981</v>
      </c>
      <c r="O11" s="113">
        <v>3347</v>
      </c>
      <c r="P11" s="13">
        <v>3511</v>
      </c>
      <c r="Q11" s="37">
        <v>3973</v>
      </c>
    </row>
    <row r="12" spans="1:17" ht="12.75">
      <c r="A12" s="29" t="s">
        <v>27</v>
      </c>
      <c r="B12" s="35">
        <f t="shared" si="0"/>
        <v>0.4253497566909976</v>
      </c>
      <c r="C12" s="67">
        <f>E12-'[1]Italy'!E12</f>
        <v>-113.44999999999982</v>
      </c>
      <c r="D12" s="13">
        <f>F12-'[1]Italy'!F12</f>
        <v>-40</v>
      </c>
      <c r="E12" s="149">
        <v>4686.55</v>
      </c>
      <c r="F12" s="13">
        <v>3288</v>
      </c>
      <c r="G12" s="113">
        <v>4439.5</v>
      </c>
      <c r="H12" s="113">
        <v>8063.5</v>
      </c>
      <c r="I12" s="113">
        <v>8005</v>
      </c>
      <c r="J12" s="113">
        <v>10538</v>
      </c>
      <c r="K12" s="113">
        <v>7713.500023792529</v>
      </c>
      <c r="L12" s="113">
        <v>11981.529623937371</v>
      </c>
      <c r="M12" s="113">
        <v>0</v>
      </c>
      <c r="N12" s="113">
        <v>16983</v>
      </c>
      <c r="O12" s="113">
        <v>18184</v>
      </c>
      <c r="P12" s="13">
        <v>22273</v>
      </c>
      <c r="Q12" s="37">
        <v>20345</v>
      </c>
    </row>
    <row r="13" spans="1:17" ht="12.75">
      <c r="A13" s="29" t="s">
        <v>50</v>
      </c>
      <c r="B13" s="35"/>
      <c r="C13" s="67">
        <f>E13-'[1]Italy'!E13</f>
        <v>0</v>
      </c>
      <c r="D13" s="13">
        <f>F13-'[1]Italy'!F13</f>
        <v>0</v>
      </c>
      <c r="E13" s="149">
        <v>0</v>
      </c>
      <c r="F13" s="13">
        <v>0</v>
      </c>
      <c r="G13" s="113">
        <v>0</v>
      </c>
      <c r="H13" s="113">
        <v>7</v>
      </c>
      <c r="I13" s="113">
        <v>7</v>
      </c>
      <c r="J13" s="113">
        <v>0</v>
      </c>
      <c r="K13" s="113">
        <v>1.002664763264335</v>
      </c>
      <c r="L13" s="113">
        <v>3.0069088900629173</v>
      </c>
      <c r="M13" s="113">
        <v>0</v>
      </c>
      <c r="N13" s="113">
        <v>1</v>
      </c>
      <c r="O13" s="113">
        <v>7</v>
      </c>
      <c r="P13" s="13">
        <v>30</v>
      </c>
      <c r="Q13" s="37">
        <v>60</v>
      </c>
    </row>
    <row r="14" spans="1:17" ht="12.75">
      <c r="A14" s="29" t="s">
        <v>105</v>
      </c>
      <c r="B14" s="35">
        <f t="shared" si="0"/>
        <v>0.47688016320081084</v>
      </c>
      <c r="C14" s="67">
        <f>E14-'[1]Italy'!E14</f>
        <v>-1796.7599999999984</v>
      </c>
      <c r="D14" s="13">
        <f>F14-'[1]Italy'!F14</f>
        <v>-3865.8508628098243</v>
      </c>
      <c r="E14" s="149">
        <v>21558.24</v>
      </c>
      <c r="F14" s="13">
        <v>14597.149137190176</v>
      </c>
      <c r="G14" s="113">
        <v>19810.489999999998</v>
      </c>
      <c r="H14" s="113">
        <v>21742.32</v>
      </c>
      <c r="I14" s="113">
        <v>29166</v>
      </c>
      <c r="J14" s="113">
        <v>22747</v>
      </c>
      <c r="K14" s="113">
        <v>20793.261860575778</v>
      </c>
      <c r="L14" s="113">
        <v>15360.292913404735</v>
      </c>
      <c r="M14" s="113">
        <v>38884.509549032366</v>
      </c>
      <c r="N14" s="113">
        <v>29032</v>
      </c>
      <c r="O14" s="113">
        <v>48116</v>
      </c>
      <c r="P14" s="13">
        <v>36981</v>
      </c>
      <c r="Q14" s="37">
        <v>48821</v>
      </c>
    </row>
    <row r="15" spans="1:17" ht="12.75">
      <c r="A15" s="165" t="s">
        <v>13</v>
      </c>
      <c r="B15" s="35"/>
      <c r="C15" s="67">
        <f>E15-'[1]Italy'!E15</f>
        <v>-321</v>
      </c>
      <c r="D15" s="13">
        <f>F15-'[1]Italy'!F15</f>
        <v>0</v>
      </c>
      <c r="E15" s="149">
        <v>27684</v>
      </c>
      <c r="F15" s="13"/>
      <c r="G15" s="113"/>
      <c r="H15" s="113"/>
      <c r="I15" s="113"/>
      <c r="J15" s="113"/>
      <c r="K15" s="113"/>
      <c r="L15" s="113"/>
      <c r="M15" s="113"/>
      <c r="N15" s="113"/>
      <c r="O15" s="113"/>
      <c r="P15" s="13"/>
      <c r="Q15" s="37"/>
    </row>
    <row r="16" spans="1:17" ht="12.75">
      <c r="A16" s="29" t="s">
        <v>19</v>
      </c>
      <c r="B16" s="35">
        <f t="shared" si="0"/>
        <v>0.6833246970765015</v>
      </c>
      <c r="C16" s="67">
        <f>E16-'[1]Italy'!E16</f>
        <v>-23409</v>
      </c>
      <c r="D16" s="13">
        <f>F16-'[1]Italy'!F16</f>
        <v>-19503.051999999996</v>
      </c>
      <c r="E16" s="149">
        <v>164858</v>
      </c>
      <c r="F16" s="13">
        <v>97935.948</v>
      </c>
      <c r="G16" s="113">
        <v>148385.25</v>
      </c>
      <c r="H16" s="113">
        <v>149761.46000000002</v>
      </c>
      <c r="I16" s="113">
        <v>145777</v>
      </c>
      <c r="J16" s="113">
        <v>137858</v>
      </c>
      <c r="K16" s="113">
        <v>103163.17482750416</v>
      </c>
      <c r="L16" s="113">
        <v>126023.56079439027</v>
      </c>
      <c r="M16" s="113">
        <v>144888.91429180597</v>
      </c>
      <c r="N16" s="113">
        <v>150141</v>
      </c>
      <c r="O16" s="113">
        <v>125746</v>
      </c>
      <c r="P16" s="13">
        <v>116868</v>
      </c>
      <c r="Q16" s="37">
        <v>134324</v>
      </c>
    </row>
    <row r="17" spans="1:17" ht="12.75">
      <c r="A17" s="29" t="s">
        <v>106</v>
      </c>
      <c r="B17" s="35">
        <f t="shared" si="0"/>
        <v>5.039218908334018</v>
      </c>
      <c r="C17" s="67">
        <f>E17-'[1]Italy'!E17</f>
        <v>-3858</v>
      </c>
      <c r="D17" s="13">
        <f>F17-'[1]Italy'!F17</f>
        <v>-1070.6999999999998</v>
      </c>
      <c r="E17" s="149">
        <v>22051</v>
      </c>
      <c r="F17" s="13">
        <v>3651.3</v>
      </c>
      <c r="G17" s="113">
        <v>18160.8</v>
      </c>
      <c r="H17" s="113">
        <v>17563.4</v>
      </c>
      <c r="I17" s="113">
        <f>28947-10000</f>
        <v>18947</v>
      </c>
      <c r="J17" s="113">
        <v>26966</v>
      </c>
      <c r="K17" s="113">
        <v>11211.797382821795</v>
      </c>
      <c r="L17" s="113">
        <v>13267.484325920945</v>
      </c>
      <c r="M17" s="113">
        <v>15166.143186956737</v>
      </c>
      <c r="N17" s="113">
        <v>12516</v>
      </c>
      <c r="O17" s="113">
        <v>10461</v>
      </c>
      <c r="P17" s="13">
        <v>13943</v>
      </c>
      <c r="Q17" s="37">
        <v>6367</v>
      </c>
    </row>
    <row r="18" spans="1:17" ht="12.75">
      <c r="A18" s="29" t="s">
        <v>21</v>
      </c>
      <c r="B18" s="35">
        <f t="shared" si="0"/>
        <v>0.04028289055899324</v>
      </c>
      <c r="C18" s="67">
        <f>E18-'[1]Italy'!E18</f>
        <v>-566</v>
      </c>
      <c r="D18" s="13">
        <f>F18-'[1]Italy'!F18</f>
        <v>-935.8288091908935</v>
      </c>
      <c r="E18" s="149">
        <v>3611</v>
      </c>
      <c r="F18" s="13">
        <v>3471.1711908091065</v>
      </c>
      <c r="G18" s="113">
        <v>8110.2</v>
      </c>
      <c r="H18" s="113">
        <v>7926.9</v>
      </c>
      <c r="I18" s="113">
        <v>9723</v>
      </c>
      <c r="J18" s="113">
        <v>6733</v>
      </c>
      <c r="K18" s="113">
        <v>2716.2188436830834</v>
      </c>
      <c r="L18" s="113">
        <v>7726.753544498343</v>
      </c>
      <c r="M18" s="113">
        <v>0</v>
      </c>
      <c r="N18" s="113">
        <v>5429</v>
      </c>
      <c r="O18" s="113">
        <v>6828</v>
      </c>
      <c r="P18" s="13">
        <v>4861</v>
      </c>
      <c r="Q18" s="37">
        <v>9038</v>
      </c>
    </row>
    <row r="19" spans="1:17" ht="13.5" thickBot="1">
      <c r="A19" s="30" t="s">
        <v>59</v>
      </c>
      <c r="B19" s="36">
        <f t="shared" si="0"/>
        <v>0.43739353334335995</v>
      </c>
      <c r="C19" s="68">
        <f>E19-'[1]Italy'!E19</f>
        <v>-14292.979999999981</v>
      </c>
      <c r="D19" s="15">
        <f>F19-'[1]Italy'!F19</f>
        <v>-9366.187493163845</v>
      </c>
      <c r="E19" s="170">
        <v>66127.02000000002</v>
      </c>
      <c r="F19" s="15">
        <v>46004.812506836155</v>
      </c>
      <c r="G19" s="114">
        <v>68290.4</v>
      </c>
      <c r="H19" s="114">
        <v>49247.9</v>
      </c>
      <c r="I19" s="114">
        <v>52557</v>
      </c>
      <c r="J19" s="114">
        <v>41563</v>
      </c>
      <c r="K19" s="114">
        <v>25341.3492267428</v>
      </c>
      <c r="L19" s="114">
        <v>32455.572256375774</v>
      </c>
      <c r="M19" s="114">
        <v>47315.27509455157</v>
      </c>
      <c r="N19" s="114">
        <v>85947</v>
      </c>
      <c r="O19" s="114">
        <v>55413</v>
      </c>
      <c r="P19" s="15">
        <v>54827</v>
      </c>
      <c r="Q19" s="39">
        <v>59083</v>
      </c>
    </row>
    <row r="20" spans="1:17" ht="13.5" thickBot="1">
      <c r="A20" s="45" t="s">
        <v>23</v>
      </c>
      <c r="B20" s="41">
        <f t="shared" si="0"/>
        <v>0.5590600826019198</v>
      </c>
      <c r="C20" s="69">
        <f>E20-'[1]Italy'!E20</f>
        <v>-151509.56999999983</v>
      </c>
      <c r="D20" s="42">
        <f>F20-'[1]Italy'!F20</f>
        <v>-148178.4100172734</v>
      </c>
      <c r="E20" s="142">
        <f>SUM(E2:E19)</f>
        <v>1339732.4300000002</v>
      </c>
      <c r="F20" s="42">
        <f aca="true" t="shared" si="1" ref="F20:K20">SUM(F2:F19)</f>
        <v>859320.5899827266</v>
      </c>
      <c r="G20" s="42">
        <f t="shared" si="1"/>
        <v>1343896.4049999998</v>
      </c>
      <c r="H20" s="42">
        <f t="shared" si="1"/>
        <v>1313930.4999999998</v>
      </c>
      <c r="I20" s="42">
        <f t="shared" si="1"/>
        <v>1403310</v>
      </c>
      <c r="J20" s="42">
        <f t="shared" si="1"/>
        <v>1221801</v>
      </c>
      <c r="K20" s="42">
        <f t="shared" si="1"/>
        <v>1053550</v>
      </c>
      <c r="L20" s="42">
        <f aca="true" t="shared" si="2" ref="L20:Q20">SUM(L2:L19)</f>
        <v>1252137</v>
      </c>
      <c r="M20" s="42">
        <f t="shared" si="2"/>
        <v>1261740</v>
      </c>
      <c r="N20" s="42">
        <f t="shared" si="2"/>
        <v>1274698</v>
      </c>
      <c r="O20" s="42">
        <f t="shared" si="2"/>
        <v>1229382</v>
      </c>
      <c r="P20" s="42">
        <f t="shared" si="2"/>
        <v>1137898</v>
      </c>
      <c r="Q20" s="43">
        <f t="shared" si="2"/>
        <v>1128925</v>
      </c>
    </row>
    <row r="21" spans="1:15" s="9" customFormat="1" ht="12.75">
      <c r="A21" s="166" t="s">
        <v>167</v>
      </c>
      <c r="B21" s="44"/>
      <c r="C21" s="44"/>
      <c r="D21" s="44"/>
      <c r="E21" s="44"/>
      <c r="F21" s="44"/>
      <c r="G21" s="44"/>
      <c r="H21" s="12"/>
      <c r="I21" s="12"/>
      <c r="J21" s="12"/>
      <c r="K21" s="12"/>
      <c r="L21" s="12"/>
      <c r="M21" s="12"/>
      <c r="N21" s="12"/>
      <c r="O21" s="12"/>
    </row>
    <row r="22" spans="2:15" s="9" customFormat="1" ht="13.5" thickBot="1">
      <c r="B22" s="44"/>
      <c r="C22" s="44"/>
      <c r="D22" s="44"/>
      <c r="E22" s="44"/>
      <c r="F22" s="44"/>
      <c r="G22" s="44"/>
      <c r="H22" s="12"/>
      <c r="I22" s="12"/>
      <c r="J22" s="12"/>
      <c r="K22" s="12"/>
      <c r="L22" s="12"/>
      <c r="M22" s="12"/>
      <c r="N22" s="12"/>
      <c r="O22" s="12"/>
    </row>
    <row r="23" spans="1:17" s="16" customFormat="1" ht="13.5" thickBot="1">
      <c r="A23" s="31" t="s">
        <v>25</v>
      </c>
      <c r="B23" s="32" t="s">
        <v>177</v>
      </c>
      <c r="C23" s="66" t="s">
        <v>176</v>
      </c>
      <c r="D23" s="112" t="s">
        <v>173</v>
      </c>
      <c r="E23" s="171">
        <v>43466</v>
      </c>
      <c r="F23" s="33">
        <v>43101</v>
      </c>
      <c r="G23" s="33">
        <v>42736</v>
      </c>
      <c r="H23" s="33">
        <f>H1</f>
        <v>42370</v>
      </c>
      <c r="I23" s="33">
        <f>I1</f>
        <v>42005</v>
      </c>
      <c r="J23" s="33">
        <v>41640</v>
      </c>
      <c r="K23" s="33">
        <v>41275</v>
      </c>
      <c r="L23" s="33">
        <v>40544</v>
      </c>
      <c r="M23" s="33">
        <v>40544</v>
      </c>
      <c r="N23" s="33">
        <v>40179</v>
      </c>
      <c r="O23" s="33">
        <v>39814</v>
      </c>
      <c r="P23" s="33">
        <v>39448</v>
      </c>
      <c r="Q23" s="34">
        <v>39083</v>
      </c>
    </row>
    <row r="24" spans="1:17" ht="12.75">
      <c r="A24" s="27" t="s">
        <v>103</v>
      </c>
      <c r="B24" s="35">
        <f aca="true" t="shared" si="3" ref="B24:B29">(E24-F24)/F24</f>
        <v>-0.1664192636465849</v>
      </c>
      <c r="C24" s="67">
        <f>E24-'[1]Italy'!E24</f>
        <v>-26223.07633423616</v>
      </c>
      <c r="D24" s="13">
        <f>F24-'[1]Italy'!F24</f>
        <v>-31788.451465328224</v>
      </c>
      <c r="E24" s="149">
        <v>130425</v>
      </c>
      <c r="F24" s="13">
        <v>156463.54853467178</v>
      </c>
      <c r="G24" s="177">
        <v>130788.4569127536</v>
      </c>
      <c r="H24" s="150">
        <v>152025.30958227412</v>
      </c>
      <c r="I24" s="150">
        <v>157420.8997005057</v>
      </c>
      <c r="J24" s="150">
        <v>183915.8639063191</v>
      </c>
      <c r="K24" s="13">
        <v>115632.2717924074</v>
      </c>
      <c r="L24" s="13">
        <v>209185</v>
      </c>
      <c r="M24" s="13">
        <v>77054.25249649963</v>
      </c>
      <c r="N24" s="13">
        <v>100070</v>
      </c>
      <c r="O24" s="13">
        <v>86440</v>
      </c>
      <c r="P24" s="13">
        <v>84522</v>
      </c>
      <c r="Q24" s="37">
        <v>116060</v>
      </c>
    </row>
    <row r="25" spans="1:17" ht="12.75">
      <c r="A25" s="27" t="s">
        <v>7</v>
      </c>
      <c r="B25" s="35">
        <f t="shared" si="3"/>
        <v>-0.11906763120427159</v>
      </c>
      <c r="C25" s="67">
        <f>E25-'[1]Italy'!E25</f>
        <v>-2451.5674491232567</v>
      </c>
      <c r="D25" s="13">
        <f>F25-'[1]Italy'!F25</f>
        <v>-2173.849353603029</v>
      </c>
      <c r="E25" s="149">
        <v>28900</v>
      </c>
      <c r="F25" s="13">
        <v>32806.15064639697</v>
      </c>
      <c r="G25" s="177">
        <v>35064.03079356265</v>
      </c>
      <c r="H25" s="13">
        <v>41880.46231659629</v>
      </c>
      <c r="I25" s="13">
        <v>42981.630945294135</v>
      </c>
      <c r="J25" s="13">
        <v>50096</v>
      </c>
      <c r="K25" s="13">
        <v>48265.866014234816</v>
      </c>
      <c r="L25" s="13">
        <v>80477</v>
      </c>
      <c r="M25" s="13">
        <v>43123.52705269467</v>
      </c>
      <c r="N25" s="13">
        <v>66344</v>
      </c>
      <c r="O25" s="13">
        <v>58814</v>
      </c>
      <c r="P25" s="13">
        <v>63802</v>
      </c>
      <c r="Q25" s="37">
        <v>65596</v>
      </c>
    </row>
    <row r="26" spans="1:17" ht="12.75">
      <c r="A26" s="27" t="s">
        <v>104</v>
      </c>
      <c r="B26" s="35">
        <f t="shared" si="3"/>
        <v>-0.11709417517255359</v>
      </c>
      <c r="C26" s="67">
        <f>E26-'[1]Italy'!E26</f>
        <v>-2121.4425015273637</v>
      </c>
      <c r="D26" s="13">
        <f>F26-'[1]Italy'!F26</f>
        <v>-2331.3289647847578</v>
      </c>
      <c r="E26" s="149">
        <v>5630</v>
      </c>
      <c r="F26" s="13">
        <v>6376.671035215242</v>
      </c>
      <c r="G26" s="177">
        <v>4844.5302726688005</v>
      </c>
      <c r="H26" s="150">
        <v>9831.908006360754</v>
      </c>
      <c r="I26" s="150">
        <v>9203.571270682567</v>
      </c>
      <c r="J26" s="150">
        <v>15304.364154566783</v>
      </c>
      <c r="K26" s="13">
        <v>10051.531206703541</v>
      </c>
      <c r="L26" s="13">
        <v>19066</v>
      </c>
      <c r="M26" s="13">
        <v>15867.248849703667</v>
      </c>
      <c r="N26" s="13">
        <v>19834</v>
      </c>
      <c r="O26" s="13">
        <v>13397</v>
      </c>
      <c r="P26" s="13">
        <v>16930</v>
      </c>
      <c r="Q26" s="37">
        <v>25724</v>
      </c>
    </row>
    <row r="27" spans="1:17" ht="12.75">
      <c r="A27" s="27" t="s">
        <v>30</v>
      </c>
      <c r="B27" s="35">
        <f t="shared" si="3"/>
        <v>-0.08679591241937286</v>
      </c>
      <c r="C27" s="67">
        <f>E27-'[1]Italy'!E27</f>
        <v>-3868.8092592866633</v>
      </c>
      <c r="D27" s="13">
        <f>F27-'[1]Italy'!F27</f>
        <v>-3401.2341712995985</v>
      </c>
      <c r="E27" s="149">
        <v>20251</v>
      </c>
      <c r="F27" s="13">
        <v>22175.7658287004</v>
      </c>
      <c r="G27" s="177">
        <v>17311.58733279713</v>
      </c>
      <c r="H27" s="150">
        <v>27813.306338990104</v>
      </c>
      <c r="I27" s="150">
        <v>19395.120896159497</v>
      </c>
      <c r="J27" s="150">
        <v>36312.9464988427</v>
      </c>
      <c r="K27" s="13">
        <v>20022.50481451052</v>
      </c>
      <c r="L27" s="13">
        <v>36028</v>
      </c>
      <c r="M27" s="13">
        <v>16021.007254216986</v>
      </c>
      <c r="N27" s="13">
        <v>32696</v>
      </c>
      <c r="O27" s="13">
        <v>13585</v>
      </c>
      <c r="P27" s="13">
        <v>27307</v>
      </c>
      <c r="Q27" s="37">
        <v>25962</v>
      </c>
    </row>
    <row r="28" spans="1:17" ht="13.5" thickBot="1">
      <c r="A28" s="38" t="s">
        <v>59</v>
      </c>
      <c r="B28" s="36">
        <f t="shared" si="3"/>
        <v>0.29357386968457616</v>
      </c>
      <c r="C28" s="68">
        <f>E28-'[1]Italy'!E28</f>
        <v>-12821.500963122453</v>
      </c>
      <c r="D28" s="15">
        <f>F28-'[1]Italy'!F28</f>
        <v>-10632</v>
      </c>
      <c r="E28" s="170">
        <v>23089</v>
      </c>
      <c r="F28" s="15">
        <v>17849</v>
      </c>
      <c r="G28" s="178">
        <v>13056.856942129794</v>
      </c>
      <c r="H28" s="150">
        <v>13859.157787222664</v>
      </c>
      <c r="I28" s="150">
        <v>14467.65144941668</v>
      </c>
      <c r="J28" s="150">
        <v>39547.822033798824</v>
      </c>
      <c r="K28" s="15">
        <v>23668.16337970291</v>
      </c>
      <c r="L28" s="15">
        <v>20067</v>
      </c>
      <c r="M28" s="15">
        <v>10977.559612225043</v>
      </c>
      <c r="N28" s="15">
        <v>14835</v>
      </c>
      <c r="O28" s="15">
        <v>8470</v>
      </c>
      <c r="P28" s="15">
        <v>6331</v>
      </c>
      <c r="Q28" s="39">
        <v>5172</v>
      </c>
    </row>
    <row r="29" spans="1:17" ht="13.5" thickBot="1">
      <c r="A29" s="40" t="s">
        <v>23</v>
      </c>
      <c r="B29" s="41">
        <f t="shared" si="3"/>
        <v>-0.11616244782627473</v>
      </c>
      <c r="C29" s="69">
        <f>E29-'[1]Italy'!E29</f>
        <v>-47486.396507295896</v>
      </c>
      <c r="D29" s="42">
        <f>F29-'[1]Italy'!F29</f>
        <v>-50326.86395501561</v>
      </c>
      <c r="E29" s="142">
        <f>SUM(E24:E28)</f>
        <v>208295</v>
      </c>
      <c r="F29" s="42">
        <f>SUM(F24:F28)</f>
        <v>235671.1360449844</v>
      </c>
      <c r="G29" s="179">
        <v>201065.46225391194</v>
      </c>
      <c r="H29" s="130">
        <v>245410.14403144395</v>
      </c>
      <c r="I29" s="130">
        <f>SUM(I24:I28)</f>
        <v>243468.87426205855</v>
      </c>
      <c r="J29" s="130">
        <f>SUM(J24:J28)</f>
        <v>325176.99659352744</v>
      </c>
      <c r="K29" s="42">
        <f>SUM(K24:K28)</f>
        <v>217640.3372075592</v>
      </c>
      <c r="L29" s="42">
        <f aca="true" t="shared" si="4" ref="L29:Q29">SUM(L24:L28)</f>
        <v>364823</v>
      </c>
      <c r="M29" s="42">
        <f t="shared" si="4"/>
        <v>163043.59526534</v>
      </c>
      <c r="N29" s="42">
        <f t="shared" si="4"/>
        <v>233779</v>
      </c>
      <c r="O29" s="42">
        <f t="shared" si="4"/>
        <v>180706</v>
      </c>
      <c r="P29" s="42">
        <f t="shared" si="4"/>
        <v>198892</v>
      </c>
      <c r="Q29" s="43">
        <f t="shared" si="4"/>
        <v>238514</v>
      </c>
    </row>
    <row r="36" spans="16:18" ht="18">
      <c r="P36" s="5"/>
      <c r="Q36" s="1"/>
      <c r="R36" s="1"/>
    </row>
    <row r="37" spans="16:18" ht="18">
      <c r="P37" s="5"/>
      <c r="Q37" s="1"/>
      <c r="R37" s="1"/>
    </row>
    <row r="38" spans="16:18" ht="18">
      <c r="P38" s="5"/>
      <c r="Q38" s="1"/>
      <c r="R38" s="1"/>
    </row>
    <row r="39" spans="16:18" ht="18">
      <c r="P39" s="5"/>
      <c r="Q39" s="1"/>
      <c r="R39" s="1"/>
    </row>
    <row r="40" spans="16:18" ht="18">
      <c r="P40" s="5"/>
      <c r="Q40" s="1"/>
      <c r="R40" s="1"/>
    </row>
    <row r="41" spans="16:18" ht="18">
      <c r="P41" s="5"/>
      <c r="Q41" s="1"/>
      <c r="R41" s="1"/>
    </row>
    <row r="42" spans="16:18" ht="18">
      <c r="P42" s="5"/>
      <c r="Q42" s="1"/>
      <c r="R42" s="1"/>
    </row>
    <row r="43" spans="16:18" ht="18">
      <c r="P43" s="5"/>
      <c r="Q43" s="1"/>
      <c r="R43" s="1"/>
    </row>
    <row r="44" spans="16:18" ht="18">
      <c r="P44" s="5"/>
      <c r="Q44" s="1"/>
      <c r="R44" s="1"/>
    </row>
    <row r="45" spans="16:18" ht="18">
      <c r="P45" s="5"/>
      <c r="Q45" s="1"/>
      <c r="R45" s="1"/>
    </row>
    <row r="46" spans="16:18" ht="18">
      <c r="P46" s="6"/>
      <c r="Q46" s="1"/>
      <c r="R46" s="1"/>
    </row>
    <row r="47" spans="16:18" ht="18.75">
      <c r="P47" s="7"/>
      <c r="Q47" s="2"/>
      <c r="R4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6" width="11.421875" style="9" customWidth="1"/>
    <col min="7" max="7" width="10.140625" style="0" bestFit="1" customWidth="1"/>
    <col min="8" max="15" width="10.140625" style="12" bestFit="1" customWidth="1"/>
    <col min="16" max="17" width="10.140625" style="0" bestFit="1" customWidth="1"/>
  </cols>
  <sheetData>
    <row r="1" spans="1:19" s="16" customFormat="1" ht="13.5" thickBot="1">
      <c r="A1" s="31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33">
        <v>39814</v>
      </c>
      <c r="P1" s="33">
        <v>39448</v>
      </c>
      <c r="Q1" s="34">
        <v>39083</v>
      </c>
      <c r="S1"/>
    </row>
    <row r="2" spans="1:17" ht="12.75">
      <c r="A2" s="57" t="s">
        <v>4</v>
      </c>
      <c r="B2" s="35"/>
      <c r="C2" s="67">
        <f>E2-'[1]Poland'!E2</f>
        <v>0</v>
      </c>
      <c r="D2" s="13">
        <f>F2-'[1]Poland'!F2</f>
        <v>0</v>
      </c>
      <c r="E2" s="149"/>
      <c r="F2" s="13"/>
      <c r="G2" s="13"/>
      <c r="H2" s="13"/>
      <c r="I2" s="13"/>
      <c r="J2" s="13"/>
      <c r="K2" s="13"/>
      <c r="L2" s="13"/>
      <c r="M2" s="13"/>
      <c r="N2" s="13">
        <v>5000</v>
      </c>
      <c r="O2" s="13">
        <v>4000</v>
      </c>
      <c r="P2" s="13">
        <v>0</v>
      </c>
      <c r="Q2" s="37">
        <v>0</v>
      </c>
    </row>
    <row r="3" spans="1:17" ht="12.75">
      <c r="A3" s="57" t="s">
        <v>33</v>
      </c>
      <c r="B3" s="35"/>
      <c r="C3" s="67">
        <f>E3-'[1]Poland'!E3</f>
        <v>0</v>
      </c>
      <c r="D3" s="13">
        <f>F3-'[1]Poland'!F3</f>
        <v>0</v>
      </c>
      <c r="E3" s="149"/>
      <c r="F3" s="13"/>
      <c r="G3" s="13"/>
      <c r="H3" s="13">
        <v>0</v>
      </c>
      <c r="I3" s="13">
        <v>500</v>
      </c>
      <c r="J3" s="13">
        <v>1000</v>
      </c>
      <c r="K3" s="13">
        <v>5000</v>
      </c>
      <c r="L3" s="13">
        <v>6000</v>
      </c>
      <c r="M3" s="13">
        <v>15000</v>
      </c>
      <c r="N3" s="13">
        <v>28000</v>
      </c>
      <c r="O3" s="13">
        <v>28000</v>
      </c>
      <c r="P3" s="13">
        <v>8000</v>
      </c>
      <c r="Q3" s="37">
        <v>20000</v>
      </c>
    </row>
    <row r="4" spans="1:17" ht="12.75">
      <c r="A4" s="27" t="s">
        <v>2</v>
      </c>
      <c r="B4" s="35"/>
      <c r="C4" s="67">
        <f>E4-'[1]Poland'!E4</f>
        <v>0</v>
      </c>
      <c r="D4" s="13">
        <f>F4-'[1]Poland'!F4</f>
        <v>0</v>
      </c>
      <c r="E4" s="149"/>
      <c r="F4" s="13"/>
      <c r="G4" s="13">
        <v>0</v>
      </c>
      <c r="H4" s="13">
        <v>500</v>
      </c>
      <c r="I4" s="13">
        <v>500</v>
      </c>
      <c r="J4" s="13">
        <v>1000</v>
      </c>
      <c r="K4" s="13">
        <v>5000</v>
      </c>
      <c r="L4" s="13">
        <v>6000</v>
      </c>
      <c r="M4" s="13"/>
      <c r="N4" s="13">
        <v>14000</v>
      </c>
      <c r="O4" s="13">
        <v>13000</v>
      </c>
      <c r="P4" s="13">
        <v>3000</v>
      </c>
      <c r="Q4" s="37">
        <v>2000</v>
      </c>
    </row>
    <row r="5" spans="1:17" ht="12.75">
      <c r="A5" s="27" t="s">
        <v>9</v>
      </c>
      <c r="B5" s="35">
        <f>(E5-F5)/F5</f>
        <v>0.8</v>
      </c>
      <c r="C5" s="67">
        <f>E5-'[1]Poland'!E5</f>
        <v>-15000</v>
      </c>
      <c r="D5" s="13">
        <f>F5-'[1]Poland'!F5</f>
        <v>-45000</v>
      </c>
      <c r="E5" s="149">
        <v>135000</v>
      </c>
      <c r="F5" s="13">
        <v>75000</v>
      </c>
      <c r="G5" s="13">
        <v>70000</v>
      </c>
      <c r="H5" s="13">
        <v>80000</v>
      </c>
      <c r="I5" s="13">
        <v>80000</v>
      </c>
      <c r="J5" s="13">
        <v>100000</v>
      </c>
      <c r="K5" s="13">
        <v>60000</v>
      </c>
      <c r="L5" s="13">
        <v>85000</v>
      </c>
      <c r="M5" s="13">
        <v>62000</v>
      </c>
      <c r="N5" s="13">
        <v>68000</v>
      </c>
      <c r="O5" s="13">
        <v>45000</v>
      </c>
      <c r="P5" s="13">
        <v>35000</v>
      </c>
      <c r="Q5" s="37">
        <v>34000</v>
      </c>
    </row>
    <row r="6" spans="1:17" ht="12.75">
      <c r="A6" s="27" t="s">
        <v>14</v>
      </c>
      <c r="B6" s="35">
        <f aca="true" t="shared" si="0" ref="B6:B18">(E6-F6)/F6</f>
        <v>0.08235294117647059</v>
      </c>
      <c r="C6" s="67">
        <f>E6-'[1]Poland'!E6</f>
        <v>-3000</v>
      </c>
      <c r="D6" s="13">
        <f>F6-'[1]Poland'!F6</f>
        <v>-10000</v>
      </c>
      <c r="E6" s="149">
        <v>92000</v>
      </c>
      <c r="F6" s="13">
        <v>85000</v>
      </c>
      <c r="G6" s="13">
        <v>90000</v>
      </c>
      <c r="H6" s="13">
        <v>90000</v>
      </c>
      <c r="I6" s="13">
        <v>90000</v>
      </c>
      <c r="J6" s="13">
        <v>90000</v>
      </c>
      <c r="K6" s="13">
        <v>90000</v>
      </c>
      <c r="L6" s="13">
        <v>82000</v>
      </c>
      <c r="M6" s="13">
        <v>25000</v>
      </c>
      <c r="N6" s="13">
        <v>20000</v>
      </c>
      <c r="O6" s="13">
        <v>20000</v>
      </c>
      <c r="P6" s="13">
        <v>16000</v>
      </c>
      <c r="Q6" s="37">
        <v>25000</v>
      </c>
    </row>
    <row r="7" spans="1:17" ht="12.75">
      <c r="A7" s="29" t="s">
        <v>3</v>
      </c>
      <c r="B7" s="35">
        <f t="shared" si="0"/>
        <v>0</v>
      </c>
      <c r="C7" s="67">
        <f>E7-'[1]Poland'!E7</f>
        <v>-10000</v>
      </c>
      <c r="D7" s="13">
        <f>F7-'[1]Poland'!F7</f>
        <v>-10000</v>
      </c>
      <c r="E7" s="149">
        <v>140000</v>
      </c>
      <c r="F7" s="13">
        <v>140000</v>
      </c>
      <c r="G7" s="113">
        <v>150000</v>
      </c>
      <c r="H7" s="113">
        <v>160000</v>
      </c>
      <c r="I7" s="113">
        <v>160000</v>
      </c>
      <c r="J7" s="113">
        <v>130000</v>
      </c>
      <c r="K7" s="113">
        <v>130000</v>
      </c>
      <c r="L7" s="113">
        <v>140000</v>
      </c>
      <c r="M7" s="113">
        <v>65000</v>
      </c>
      <c r="N7" s="113">
        <v>87000</v>
      </c>
      <c r="O7" s="113">
        <v>80000</v>
      </c>
      <c r="P7" s="13">
        <v>65000</v>
      </c>
      <c r="Q7" s="37">
        <v>60000</v>
      </c>
    </row>
    <row r="8" spans="1:17" ht="12.75">
      <c r="A8" s="29" t="s">
        <v>10</v>
      </c>
      <c r="B8" s="35">
        <f t="shared" si="0"/>
        <v>1.0666666666666667</v>
      </c>
      <c r="C8" s="67">
        <f>E8-'[1]Poland'!E8</f>
        <v>-40000</v>
      </c>
      <c r="D8" s="13">
        <f>F8-'[1]Poland'!F8</f>
        <v>-30000</v>
      </c>
      <c r="E8" s="149">
        <v>310000</v>
      </c>
      <c r="F8" s="13">
        <v>150000</v>
      </c>
      <c r="G8" s="113">
        <v>320000</v>
      </c>
      <c r="H8" s="113">
        <v>330000</v>
      </c>
      <c r="I8" s="113">
        <v>320000</v>
      </c>
      <c r="J8" s="113">
        <v>260000</v>
      </c>
      <c r="K8" s="113">
        <v>250000</v>
      </c>
      <c r="L8" s="113">
        <v>240000</v>
      </c>
      <c r="M8" s="113">
        <v>95000</v>
      </c>
      <c r="N8" s="113">
        <v>115000</v>
      </c>
      <c r="O8" s="113">
        <v>140000</v>
      </c>
      <c r="P8" s="13">
        <v>35000</v>
      </c>
      <c r="Q8" s="37">
        <v>85000</v>
      </c>
    </row>
    <row r="9" spans="1:17" ht="12.75">
      <c r="A9" s="29" t="s">
        <v>27</v>
      </c>
      <c r="B9" s="35">
        <f t="shared" si="0"/>
        <v>1.2222222222222223</v>
      </c>
      <c r="C9" s="67">
        <f>E9-'[1]Poland'!E9</f>
        <v>-20000</v>
      </c>
      <c r="D9" s="13">
        <f>F9-'[1]Poland'!F9</f>
        <v>-10000</v>
      </c>
      <c r="E9" s="149">
        <v>100000</v>
      </c>
      <c r="F9" s="13">
        <v>45000</v>
      </c>
      <c r="G9" s="113">
        <v>95000</v>
      </c>
      <c r="H9" s="113">
        <v>100000</v>
      </c>
      <c r="I9" s="113">
        <v>95000</v>
      </c>
      <c r="J9" s="113">
        <v>85000</v>
      </c>
      <c r="K9" s="113">
        <v>80000</v>
      </c>
      <c r="L9" s="113">
        <v>90000</v>
      </c>
      <c r="M9" s="113">
        <v>35000</v>
      </c>
      <c r="N9" s="113">
        <v>78000</v>
      </c>
      <c r="O9" s="113">
        <v>55000</v>
      </c>
      <c r="P9" s="13">
        <v>7000</v>
      </c>
      <c r="Q9" s="37">
        <v>15000</v>
      </c>
    </row>
    <row r="10" spans="1:17" ht="12.75">
      <c r="A10" s="29" t="s">
        <v>157</v>
      </c>
      <c r="B10" s="35">
        <f t="shared" si="0"/>
        <v>0.625</v>
      </c>
      <c r="C10" s="67">
        <f>E10-'[1]Poland'!E10</f>
        <v>-20000</v>
      </c>
      <c r="D10" s="13">
        <f>F10-'[1]Poland'!F10</f>
        <v>-15000</v>
      </c>
      <c r="E10" s="149">
        <v>130000</v>
      </c>
      <c r="F10" s="13">
        <v>80000</v>
      </c>
      <c r="G10" s="113">
        <v>110000</v>
      </c>
      <c r="H10" s="113">
        <v>120000</v>
      </c>
      <c r="I10" s="113">
        <v>120000</v>
      </c>
      <c r="J10" s="113">
        <v>120000</v>
      </c>
      <c r="K10" s="113">
        <v>115000</v>
      </c>
      <c r="L10" s="113">
        <v>115000</v>
      </c>
      <c r="M10" s="113"/>
      <c r="N10" s="113">
        <v>10000</v>
      </c>
      <c r="O10" s="113">
        <v>8000</v>
      </c>
      <c r="P10" s="13">
        <v>4000</v>
      </c>
      <c r="Q10" s="37">
        <v>4000</v>
      </c>
    </row>
    <row r="11" spans="1:17" ht="12.75">
      <c r="A11" s="29" t="s">
        <v>34</v>
      </c>
      <c r="B11" s="35"/>
      <c r="C11" s="67">
        <f>E11-'[1]Poland'!E11</f>
        <v>0</v>
      </c>
      <c r="D11" s="13">
        <f>F11-'[1]Poland'!F11</f>
        <v>0</v>
      </c>
      <c r="E11" s="149"/>
      <c r="F11" s="13"/>
      <c r="G11" s="113"/>
      <c r="H11" s="113">
        <v>0</v>
      </c>
      <c r="I11" s="113">
        <v>500</v>
      </c>
      <c r="J11" s="113">
        <v>1000</v>
      </c>
      <c r="K11" s="113">
        <v>1000</v>
      </c>
      <c r="L11" s="113">
        <v>5000</v>
      </c>
      <c r="M11" s="113">
        <v>28000</v>
      </c>
      <c r="N11" s="113">
        <v>62000</v>
      </c>
      <c r="O11" s="113">
        <v>42000</v>
      </c>
      <c r="P11" s="13">
        <v>20000</v>
      </c>
      <c r="Q11" s="37">
        <v>35000</v>
      </c>
    </row>
    <row r="12" spans="1:17" ht="12.75">
      <c r="A12" s="29" t="s">
        <v>13</v>
      </c>
      <c r="B12" s="35">
        <f t="shared" si="0"/>
        <v>1.3333333333333333</v>
      </c>
      <c r="C12" s="67">
        <f>E12-'[1]Poland'!E12</f>
        <v>-10000</v>
      </c>
      <c r="D12" s="13">
        <f>F12-'[1]Poland'!F12</f>
        <v>-5000</v>
      </c>
      <c r="E12" s="149">
        <v>35000</v>
      </c>
      <c r="F12" s="13">
        <v>15000</v>
      </c>
      <c r="G12" s="113">
        <v>15000</v>
      </c>
      <c r="H12" s="113">
        <v>15000</v>
      </c>
      <c r="I12" s="113">
        <v>15000</v>
      </c>
      <c r="J12" s="113">
        <v>15000</v>
      </c>
      <c r="K12" s="113"/>
      <c r="L12" s="113"/>
      <c r="M12" s="113"/>
      <c r="N12" s="113">
        <v>15000</v>
      </c>
      <c r="O12" s="113">
        <v>5000</v>
      </c>
      <c r="P12" s="13">
        <v>2000</v>
      </c>
      <c r="Q12" s="37">
        <v>3000</v>
      </c>
    </row>
    <row r="13" spans="1:17" ht="12.75">
      <c r="A13" s="29" t="s">
        <v>19</v>
      </c>
      <c r="B13" s="35">
        <f t="shared" si="0"/>
        <v>11</v>
      </c>
      <c r="C13" s="67">
        <f>E13-'[1]Poland'!E13</f>
        <v>-3000</v>
      </c>
      <c r="D13" s="13">
        <f>F13-'[1]Poland'!F13</f>
        <v>-3000</v>
      </c>
      <c r="E13" s="149">
        <v>12000</v>
      </c>
      <c r="F13" s="13">
        <v>1000</v>
      </c>
      <c r="G13" s="113">
        <v>3000</v>
      </c>
      <c r="H13" s="113">
        <v>0</v>
      </c>
      <c r="I13" s="113">
        <v>3000</v>
      </c>
      <c r="J13" s="113">
        <v>2000</v>
      </c>
      <c r="K13" s="113">
        <v>1000</v>
      </c>
      <c r="L13" s="113">
        <v>6000</v>
      </c>
      <c r="M13" s="113"/>
      <c r="N13" s="113">
        <v>18000</v>
      </c>
      <c r="O13" s="113">
        <v>15000</v>
      </c>
      <c r="P13" s="13">
        <v>7000</v>
      </c>
      <c r="Q13" s="37">
        <v>7000</v>
      </c>
    </row>
    <row r="14" spans="1:17" ht="12.75">
      <c r="A14" s="29" t="s">
        <v>134</v>
      </c>
      <c r="B14" s="35"/>
      <c r="C14" s="67"/>
      <c r="D14" s="13"/>
      <c r="E14" s="149">
        <v>70000</v>
      </c>
      <c r="F14" s="13"/>
      <c r="G14" s="113"/>
      <c r="H14" s="113"/>
      <c r="I14" s="113"/>
      <c r="J14" s="113"/>
      <c r="K14" s="113"/>
      <c r="L14" s="113"/>
      <c r="M14" s="113"/>
      <c r="N14" s="113"/>
      <c r="O14" s="113"/>
      <c r="P14" s="13"/>
      <c r="Q14" s="37"/>
    </row>
    <row r="15" spans="1:17" ht="12.75">
      <c r="A15" s="29" t="s">
        <v>89</v>
      </c>
      <c r="B15" s="35">
        <f t="shared" si="0"/>
        <v>0.42857142857142855</v>
      </c>
      <c r="C15" s="67">
        <f>E15-'[1]Poland'!E14</f>
        <v>-30000</v>
      </c>
      <c r="D15" s="13">
        <f>F15-'[1]Poland'!F14</f>
        <v>-30000</v>
      </c>
      <c r="E15" s="149">
        <v>200000</v>
      </c>
      <c r="F15" s="13">
        <v>140000</v>
      </c>
      <c r="G15" s="113">
        <v>170000</v>
      </c>
      <c r="H15" s="113">
        <v>180000</v>
      </c>
      <c r="I15" s="113">
        <v>180000</v>
      </c>
      <c r="J15" s="113">
        <v>170000</v>
      </c>
      <c r="K15" s="113">
        <v>150000</v>
      </c>
      <c r="L15" s="113">
        <v>145000</v>
      </c>
      <c r="M15" s="113">
        <v>65000</v>
      </c>
      <c r="N15" s="113">
        <v>85000</v>
      </c>
      <c r="O15" s="113">
        <v>80000</v>
      </c>
      <c r="P15" s="13">
        <v>50000</v>
      </c>
      <c r="Q15" s="37">
        <v>60000</v>
      </c>
    </row>
    <row r="16" spans="1:17" ht="12.75">
      <c r="A16" s="29" t="s">
        <v>35</v>
      </c>
      <c r="B16" s="35"/>
      <c r="C16" s="67">
        <f>E16-'[1]Poland'!E15</f>
        <v>0</v>
      </c>
      <c r="D16" s="13">
        <f>F16-'[1]Poland'!F15</f>
        <v>0</v>
      </c>
      <c r="E16" s="184"/>
      <c r="F16" s="13"/>
      <c r="G16" s="113"/>
      <c r="H16" s="113"/>
      <c r="I16" s="113"/>
      <c r="J16" s="113"/>
      <c r="K16" s="113"/>
      <c r="L16" s="113"/>
      <c r="M16" s="113"/>
      <c r="N16" s="113">
        <v>5000</v>
      </c>
      <c r="O16" s="113">
        <v>5000</v>
      </c>
      <c r="P16" s="13">
        <v>0</v>
      </c>
      <c r="Q16" s="37">
        <v>0</v>
      </c>
    </row>
    <row r="17" spans="1:17" ht="13.5" thickBot="1">
      <c r="A17" s="30" t="s">
        <v>59</v>
      </c>
      <c r="B17" s="36">
        <f>(E17-F17)/F17</f>
        <v>1.0833333333333333</v>
      </c>
      <c r="C17" s="68">
        <f>E17-'[1]Poland'!E16</f>
        <v>-150000</v>
      </c>
      <c r="D17" s="15">
        <f>F17-'[1]Poland'!F16</f>
        <v>-30000</v>
      </c>
      <c r="E17" s="170">
        <v>250000</v>
      </c>
      <c r="F17" s="15">
        <v>120000</v>
      </c>
      <c r="G17" s="114">
        <v>200000</v>
      </c>
      <c r="H17" s="114">
        <v>230000</v>
      </c>
      <c r="I17" s="114">
        <v>220000</v>
      </c>
      <c r="J17" s="114">
        <v>110000</v>
      </c>
      <c r="K17" s="114">
        <v>150000</v>
      </c>
      <c r="L17" s="114">
        <v>105000</v>
      </c>
      <c r="M17" s="114">
        <v>25000</v>
      </c>
      <c r="N17" s="114">
        <v>40000</v>
      </c>
      <c r="O17" s="114">
        <v>40000</v>
      </c>
      <c r="P17" s="15">
        <v>38000</v>
      </c>
      <c r="Q17" s="39">
        <v>40000</v>
      </c>
    </row>
    <row r="18" spans="1:17" s="111" customFormat="1" ht="13.5" thickBot="1">
      <c r="A18" s="45" t="s">
        <v>23</v>
      </c>
      <c r="B18" s="41">
        <f t="shared" si="0"/>
        <v>0.7320799059929495</v>
      </c>
      <c r="C18" s="69">
        <f>E18-'[1]Poland'!E17</f>
        <v>-231000</v>
      </c>
      <c r="D18" s="42">
        <f>F18-'[1]Poland'!F17</f>
        <v>-188000</v>
      </c>
      <c r="E18" s="142">
        <f>SUM(E2:E17)</f>
        <v>1474000</v>
      </c>
      <c r="F18" s="42">
        <f aca="true" t="shared" si="1" ref="F18:K18">SUM(F2:F17)</f>
        <v>851000</v>
      </c>
      <c r="G18" s="42">
        <f t="shared" si="1"/>
        <v>1223000</v>
      </c>
      <c r="H18" s="42">
        <f t="shared" si="1"/>
        <v>1305500</v>
      </c>
      <c r="I18" s="42">
        <f t="shared" si="1"/>
        <v>1284500</v>
      </c>
      <c r="J18" s="42">
        <f t="shared" si="1"/>
        <v>1085000</v>
      </c>
      <c r="K18" s="42">
        <f t="shared" si="1"/>
        <v>1037000</v>
      </c>
      <c r="L18" s="42">
        <f aca="true" t="shared" si="2" ref="L18:Q18">SUM(L2:L17)</f>
        <v>1025000</v>
      </c>
      <c r="M18" s="42">
        <f t="shared" si="2"/>
        <v>415000</v>
      </c>
      <c r="N18" s="42">
        <f t="shared" si="2"/>
        <v>650000</v>
      </c>
      <c r="O18" s="42">
        <f t="shared" si="2"/>
        <v>580000</v>
      </c>
      <c r="P18" s="42">
        <f t="shared" si="2"/>
        <v>290000</v>
      </c>
      <c r="Q18" s="43">
        <f t="shared" si="2"/>
        <v>390000</v>
      </c>
    </row>
    <row r="19" spans="2:19" s="9" customFormat="1" ht="12.75">
      <c r="B19" s="44"/>
      <c r="C19" s="44"/>
      <c r="D19" s="44"/>
      <c r="E19" s="44"/>
      <c r="F19" s="44"/>
      <c r="G19" s="44"/>
      <c r="H19" s="12"/>
      <c r="I19" s="12"/>
      <c r="J19" s="12"/>
      <c r="K19" s="12"/>
      <c r="L19" s="12"/>
      <c r="M19" s="12"/>
      <c r="N19" s="12"/>
      <c r="O19" s="12"/>
      <c r="S19"/>
    </row>
    <row r="20" spans="2:19" s="9" customFormat="1" ht="13.5" thickBot="1">
      <c r="B20" s="44"/>
      <c r="C20" s="44"/>
      <c r="D20" s="44"/>
      <c r="E20" s="44"/>
      <c r="F20" s="44"/>
      <c r="G20" s="44"/>
      <c r="H20" s="12"/>
      <c r="I20" s="12"/>
      <c r="J20" s="12"/>
      <c r="K20" s="12"/>
      <c r="L20" s="12"/>
      <c r="M20" s="12"/>
      <c r="N20" s="12"/>
      <c r="O20" s="12"/>
      <c r="S20"/>
    </row>
    <row r="21" spans="1:19" s="16" customFormat="1" ht="13.5" thickBot="1">
      <c r="A21" s="31" t="s">
        <v>25</v>
      </c>
      <c r="B21" s="32" t="s">
        <v>177</v>
      </c>
      <c r="C21" s="66" t="s">
        <v>176</v>
      </c>
      <c r="D21" s="112" t="s">
        <v>173</v>
      </c>
      <c r="E21" s="171">
        <v>43466</v>
      </c>
      <c r="F21" s="33">
        <v>43101</v>
      </c>
      <c r="G21" s="33">
        <v>42736</v>
      </c>
      <c r="H21" s="33">
        <f>H1</f>
        <v>42370</v>
      </c>
      <c r="I21" s="33">
        <f>I1</f>
        <v>42005</v>
      </c>
      <c r="J21" s="33">
        <v>41640</v>
      </c>
      <c r="K21" s="33">
        <v>41275</v>
      </c>
      <c r="L21" s="33">
        <v>40909</v>
      </c>
      <c r="M21" s="33">
        <v>40544</v>
      </c>
      <c r="N21" s="33">
        <v>40179</v>
      </c>
      <c r="O21" s="33">
        <v>39814</v>
      </c>
      <c r="P21" s="33">
        <v>39448</v>
      </c>
      <c r="Q21" s="34">
        <v>39083</v>
      </c>
      <c r="S21"/>
    </row>
    <row r="22" spans="1:17" ht="12.75">
      <c r="A22" s="27" t="s">
        <v>7</v>
      </c>
      <c r="B22" s="35">
        <f>(E22-F22)/F22</f>
        <v>2.3333333333333335</v>
      </c>
      <c r="C22" s="67">
        <f>E22-'[1]Poland'!E21</f>
        <v>-10000</v>
      </c>
      <c r="D22" s="13">
        <f>F22-'[1]Poland'!F21</f>
        <v>-6000</v>
      </c>
      <c r="E22" s="149">
        <v>20000</v>
      </c>
      <c r="F22" s="13">
        <v>6000</v>
      </c>
      <c r="G22" s="13">
        <v>7000</v>
      </c>
      <c r="H22" s="13">
        <v>10000</v>
      </c>
      <c r="I22" s="13">
        <v>3000</v>
      </c>
      <c r="J22" s="13">
        <v>20000</v>
      </c>
      <c r="K22" s="13">
        <v>6000</v>
      </c>
      <c r="L22" s="13">
        <v>15000</v>
      </c>
      <c r="M22" s="13">
        <v>10000</v>
      </c>
      <c r="N22" s="13">
        <v>28000</v>
      </c>
      <c r="O22" s="13">
        <v>15000</v>
      </c>
      <c r="P22" s="13">
        <v>6000</v>
      </c>
      <c r="Q22" s="37">
        <v>20000</v>
      </c>
    </row>
    <row r="23" spans="1:17" ht="12.75">
      <c r="A23" s="57" t="s">
        <v>93</v>
      </c>
      <c r="B23" s="35"/>
      <c r="C23" s="67">
        <f>E23-'[1]Poland'!E22</f>
        <v>0</v>
      </c>
      <c r="D23" s="13">
        <f>F23-'[1]Poland'!F22</f>
        <v>0</v>
      </c>
      <c r="E23" s="149"/>
      <c r="F23" s="13"/>
      <c r="G23" s="13"/>
      <c r="H23" s="13"/>
      <c r="I23" s="13"/>
      <c r="J23" s="13"/>
      <c r="K23" s="13"/>
      <c r="L23" s="13"/>
      <c r="M23" s="13"/>
      <c r="N23" s="13">
        <v>0</v>
      </c>
      <c r="O23" s="13">
        <v>0</v>
      </c>
      <c r="P23" s="13">
        <v>0</v>
      </c>
      <c r="Q23" s="37">
        <v>1000</v>
      </c>
    </row>
    <row r="24" spans="1:17" ht="13.5" thickBot="1">
      <c r="A24" s="38" t="s">
        <v>59</v>
      </c>
      <c r="B24" s="36"/>
      <c r="C24" s="68">
        <f>E24-'[1]Poland'!E23</f>
        <v>-4000</v>
      </c>
      <c r="D24" s="15">
        <f>F24-'[1]Poland'!F23</f>
        <v>-1000</v>
      </c>
      <c r="E24" s="170">
        <v>3000</v>
      </c>
      <c r="F24" s="15">
        <v>0</v>
      </c>
      <c r="G24" s="15">
        <v>0</v>
      </c>
      <c r="H24" s="15">
        <v>1500</v>
      </c>
      <c r="I24" s="15">
        <v>1000</v>
      </c>
      <c r="J24" s="15">
        <v>4000</v>
      </c>
      <c r="K24" s="15">
        <v>1000</v>
      </c>
      <c r="L24" s="15">
        <v>4000</v>
      </c>
      <c r="M24" s="15">
        <v>5000</v>
      </c>
      <c r="N24" s="15">
        <v>7000</v>
      </c>
      <c r="O24" s="15">
        <v>7000</v>
      </c>
      <c r="P24" s="15">
        <v>4000</v>
      </c>
      <c r="Q24" s="39">
        <v>5000</v>
      </c>
    </row>
    <row r="25" spans="1:17" s="111" customFormat="1" ht="13.5" thickBot="1">
      <c r="A25" s="40" t="s">
        <v>23</v>
      </c>
      <c r="B25" s="41">
        <f>(E25-F25)/F25</f>
        <v>2.8333333333333335</v>
      </c>
      <c r="C25" s="69">
        <f>E25-'[1]Poland'!E24</f>
        <v>-14000</v>
      </c>
      <c r="D25" s="42">
        <f>F25-'[1]Poland'!F24</f>
        <v>-7000</v>
      </c>
      <c r="E25" s="142">
        <f>SUM(E22:E24)</f>
        <v>23000</v>
      </c>
      <c r="F25" s="42">
        <f aca="true" t="shared" si="3" ref="F25:K25">SUM(F22:F24)</f>
        <v>6000</v>
      </c>
      <c r="G25" s="42">
        <f t="shared" si="3"/>
        <v>7000</v>
      </c>
      <c r="H25" s="42">
        <f t="shared" si="3"/>
        <v>11500</v>
      </c>
      <c r="I25" s="42">
        <f t="shared" si="3"/>
        <v>4000</v>
      </c>
      <c r="J25" s="42">
        <f t="shared" si="3"/>
        <v>24000</v>
      </c>
      <c r="K25" s="42">
        <f t="shared" si="3"/>
        <v>7000</v>
      </c>
      <c r="L25" s="42">
        <f aca="true" t="shared" si="4" ref="L25:Q25">SUM(L22:L24)</f>
        <v>19000</v>
      </c>
      <c r="M25" s="42">
        <f t="shared" si="4"/>
        <v>15000</v>
      </c>
      <c r="N25" s="42">
        <f t="shared" si="4"/>
        <v>35000</v>
      </c>
      <c r="O25" s="42">
        <f t="shared" si="4"/>
        <v>22000</v>
      </c>
      <c r="P25" s="42">
        <f t="shared" si="4"/>
        <v>10000</v>
      </c>
      <c r="Q25" s="43">
        <f t="shared" si="4"/>
        <v>26000</v>
      </c>
    </row>
    <row r="32" spans="16:18" ht="18">
      <c r="P32" s="5"/>
      <c r="Q32" s="1"/>
      <c r="R32" s="1"/>
    </row>
    <row r="33" spans="16:18" ht="18">
      <c r="P33" s="5"/>
      <c r="Q33" s="1"/>
      <c r="R33" s="1"/>
    </row>
    <row r="34" spans="16:18" ht="18">
      <c r="P34" s="5"/>
      <c r="Q34" s="1"/>
      <c r="R34" s="1"/>
    </row>
    <row r="35" spans="16:18" ht="18">
      <c r="P35" s="5"/>
      <c r="Q35" s="1"/>
      <c r="R35" s="1"/>
    </row>
    <row r="36" spans="16:18" ht="18">
      <c r="P36" s="5"/>
      <c r="Q36" s="1"/>
      <c r="R36" s="1"/>
    </row>
    <row r="37" spans="16:18" ht="18">
      <c r="P37" s="5"/>
      <c r="Q37" s="1"/>
      <c r="R37" s="1"/>
    </row>
    <row r="38" spans="16:18" ht="18">
      <c r="P38" s="5"/>
      <c r="Q38" s="1"/>
      <c r="R38" s="1"/>
    </row>
    <row r="39" spans="16:18" ht="18">
      <c r="P39" s="5"/>
      <c r="Q39" s="1"/>
      <c r="R39" s="1"/>
    </row>
    <row r="40" spans="16:18" ht="18">
      <c r="P40" s="5"/>
      <c r="Q40" s="1"/>
      <c r="R40" s="1"/>
    </row>
    <row r="41" spans="16:18" ht="18">
      <c r="P41" s="5"/>
      <c r="Q41" s="1"/>
      <c r="R41" s="1"/>
    </row>
    <row r="42" spans="16:18" ht="18">
      <c r="P42" s="6"/>
      <c r="Q42" s="1"/>
      <c r="R42" s="1"/>
    </row>
    <row r="43" spans="16:18" ht="18.75">
      <c r="P43" s="7"/>
      <c r="Q43" s="2"/>
      <c r="R43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4" width="11.57421875" style="0" bestFit="1" customWidth="1"/>
    <col min="5" max="5" width="11.00390625" style="0" customWidth="1"/>
    <col min="6" max="6" width="11.00390625" style="9" customWidth="1"/>
    <col min="7" max="7" width="11.00390625" style="0" customWidth="1"/>
    <col min="8" max="13" width="10.8515625" style="0" customWidth="1"/>
  </cols>
  <sheetData>
    <row r="1" spans="1:13" ht="13.5" thickBot="1">
      <c r="A1" s="56" t="s">
        <v>91</v>
      </c>
      <c r="B1" s="32" t="s">
        <v>177</v>
      </c>
      <c r="C1" s="66" t="s">
        <v>176</v>
      </c>
      <c r="D1" s="112" t="s">
        <v>173</v>
      </c>
      <c r="E1" s="171">
        <v>43466</v>
      </c>
      <c r="F1" s="115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52">
        <v>40544</v>
      </c>
    </row>
    <row r="2" spans="1:13" ht="12.75">
      <c r="A2" s="57" t="s">
        <v>9</v>
      </c>
      <c r="B2" s="64"/>
      <c r="C2" s="67"/>
      <c r="D2" s="13"/>
      <c r="E2" s="149"/>
      <c r="F2" s="13"/>
      <c r="G2" s="95"/>
      <c r="H2" s="95"/>
      <c r="I2" s="95"/>
      <c r="J2" s="95"/>
      <c r="K2" s="95"/>
      <c r="L2" s="95"/>
      <c r="M2" s="97"/>
    </row>
    <row r="3" spans="1:13" ht="12.75">
      <c r="A3" s="57" t="s">
        <v>150</v>
      </c>
      <c r="B3" s="64"/>
      <c r="C3" s="67"/>
      <c r="D3" s="13"/>
      <c r="E3" s="149"/>
      <c r="F3" s="13"/>
      <c r="G3" s="95"/>
      <c r="H3" s="95"/>
      <c r="I3" s="95"/>
      <c r="J3" s="95"/>
      <c r="K3" s="95"/>
      <c r="L3" s="95"/>
      <c r="M3" s="97"/>
    </row>
    <row r="4" spans="1:13" ht="12.75">
      <c r="A4" s="57" t="s">
        <v>27</v>
      </c>
      <c r="B4" s="64"/>
      <c r="C4" s="67"/>
      <c r="D4" s="13"/>
      <c r="E4" s="149"/>
      <c r="F4" s="13"/>
      <c r="G4" s="95"/>
      <c r="H4" s="95"/>
      <c r="I4" s="95"/>
      <c r="J4" s="95"/>
      <c r="K4" s="95"/>
      <c r="L4" s="95"/>
      <c r="M4" s="97"/>
    </row>
    <row r="5" spans="1:13" ht="12.75">
      <c r="A5" s="57" t="s">
        <v>26</v>
      </c>
      <c r="B5" s="64"/>
      <c r="C5" s="67"/>
      <c r="D5" s="13"/>
      <c r="E5" s="149"/>
      <c r="F5" s="13"/>
      <c r="G5" s="95"/>
      <c r="H5" s="95"/>
      <c r="I5" s="95"/>
      <c r="J5" s="95"/>
      <c r="K5" s="95"/>
      <c r="L5" s="95"/>
      <c r="M5" s="97"/>
    </row>
    <row r="6" spans="1:13" ht="12.75">
      <c r="A6" s="57" t="s">
        <v>19</v>
      </c>
      <c r="B6" s="64"/>
      <c r="C6" s="67"/>
      <c r="D6" s="13"/>
      <c r="E6" s="149"/>
      <c r="F6" s="13"/>
      <c r="G6" s="95"/>
      <c r="H6" s="95"/>
      <c r="I6" s="95"/>
      <c r="J6" s="95"/>
      <c r="K6" s="95"/>
      <c r="L6" s="95"/>
      <c r="M6" s="97"/>
    </row>
    <row r="7" spans="1:13" ht="12.75">
      <c r="A7" s="57" t="s">
        <v>88</v>
      </c>
      <c r="B7" s="64"/>
      <c r="C7" s="67"/>
      <c r="D7" s="13"/>
      <c r="E7" s="149"/>
      <c r="F7" s="13"/>
      <c r="G7" s="95"/>
      <c r="H7" s="95"/>
      <c r="I7" s="95"/>
      <c r="J7" s="95"/>
      <c r="K7" s="95"/>
      <c r="L7" s="95"/>
      <c r="M7" s="97"/>
    </row>
    <row r="8" spans="1:13" ht="13.5" thickBot="1">
      <c r="A8" s="58" t="s">
        <v>6</v>
      </c>
      <c r="B8" s="65"/>
      <c r="C8" s="67"/>
      <c r="D8" s="13"/>
      <c r="E8" s="149"/>
      <c r="F8" s="13"/>
      <c r="G8" s="96"/>
      <c r="H8" s="95"/>
      <c r="I8" s="95"/>
      <c r="J8" s="95"/>
      <c r="K8" s="95"/>
      <c r="L8" s="95"/>
      <c r="M8" s="97"/>
    </row>
    <row r="9" spans="1:13" ht="13.5" thickBot="1">
      <c r="A9" s="59" t="s">
        <v>92</v>
      </c>
      <c r="B9" s="110"/>
      <c r="C9" s="147"/>
      <c r="D9" s="148"/>
      <c r="E9" s="180"/>
      <c r="F9" s="148"/>
      <c r="G9" s="130"/>
      <c r="H9" s="130"/>
      <c r="I9" s="130"/>
      <c r="J9" s="130"/>
      <c r="K9" s="130"/>
      <c r="L9" s="130"/>
      <c r="M9" s="135"/>
    </row>
    <row r="10" spans="7:13" ht="12.75">
      <c r="G10" s="9"/>
      <c r="H10" s="9"/>
      <c r="I10" s="9"/>
      <c r="J10" s="9"/>
      <c r="K10" s="9"/>
      <c r="L10" s="9"/>
      <c r="M10" s="9"/>
    </row>
    <row r="11" spans="2:13" ht="13.5" thickBot="1">
      <c r="B11" s="3"/>
      <c r="C11" s="3"/>
      <c r="D11" s="3"/>
      <c r="E11" s="3"/>
      <c r="F11" s="131"/>
      <c r="G11" s="131"/>
      <c r="H11" s="131"/>
      <c r="I11" s="131"/>
      <c r="J11" s="131"/>
      <c r="K11" s="131"/>
      <c r="L11" s="131"/>
      <c r="M11" s="131"/>
    </row>
    <row r="12" spans="1:13" ht="13.5" thickBot="1">
      <c r="A12" s="71" t="s">
        <v>91</v>
      </c>
      <c r="B12" s="32" t="s">
        <v>177</v>
      </c>
      <c r="C12" s="66" t="s">
        <v>176</v>
      </c>
      <c r="D12" s="112" t="s">
        <v>173</v>
      </c>
      <c r="E12" s="171">
        <v>43466</v>
      </c>
      <c r="F12" s="33">
        <v>43101</v>
      </c>
      <c r="G12" s="33">
        <v>42736</v>
      </c>
      <c r="H12" s="33">
        <f>H1</f>
        <v>42370</v>
      </c>
      <c r="I12" s="33">
        <f>I1</f>
        <v>42005</v>
      </c>
      <c r="J12" s="33">
        <v>41640</v>
      </c>
      <c r="K12" s="33">
        <v>41275</v>
      </c>
      <c r="L12" s="33">
        <v>40909</v>
      </c>
      <c r="M12" s="52">
        <v>40544</v>
      </c>
    </row>
    <row r="13" spans="1:13" ht="13.5" thickBot="1">
      <c r="A13" s="74" t="s">
        <v>151</v>
      </c>
      <c r="B13" s="75">
        <f>(E13-F13)/F13</f>
        <v>0.06325288562434418</v>
      </c>
      <c r="C13" s="67">
        <f>E13-'[1]Portugal'!E13</f>
        <v>75996</v>
      </c>
      <c r="D13" s="13">
        <f>F13-'[1]Portugal'!F13</f>
        <v>71475</v>
      </c>
      <c r="E13" s="180">
        <v>75996</v>
      </c>
      <c r="F13" s="148">
        <v>71475</v>
      </c>
      <c r="G13" s="100">
        <v>59851</v>
      </c>
      <c r="H13" s="100">
        <v>47466</v>
      </c>
      <c r="I13" s="100">
        <v>80378</v>
      </c>
      <c r="J13" s="100">
        <v>83498</v>
      </c>
      <c r="K13" s="100">
        <v>31792</v>
      </c>
      <c r="L13" s="100">
        <v>70946</v>
      </c>
      <c r="M13" s="151">
        <v>44175</v>
      </c>
    </row>
    <row r="14" spans="1:13" ht="13.5" thickBot="1">
      <c r="A14" s="71" t="s">
        <v>92</v>
      </c>
      <c r="B14" s="83">
        <f>(E14-F14)/F14</f>
        <v>0.06325288562434418</v>
      </c>
      <c r="C14" s="93">
        <f>E14-'[1]Portugal'!E14</f>
        <v>75996</v>
      </c>
      <c r="D14" s="130">
        <f>F14-'[1]Portugal'!F14</f>
        <v>71475</v>
      </c>
      <c r="E14" s="62">
        <v>75996</v>
      </c>
      <c r="F14" s="42">
        <v>71475</v>
      </c>
      <c r="G14" s="120">
        <f>G13</f>
        <v>59851</v>
      </c>
      <c r="H14" s="120">
        <v>47466</v>
      </c>
      <c r="I14" s="120">
        <v>80378</v>
      </c>
      <c r="J14" s="120">
        <v>83498</v>
      </c>
      <c r="K14" s="120">
        <v>31792</v>
      </c>
      <c r="L14" s="120">
        <v>70946</v>
      </c>
      <c r="M14" s="140">
        <v>44175</v>
      </c>
    </row>
    <row r="15" ht="12.75">
      <c r="A15" s="3" t="s">
        <v>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6" width="11.8515625" style="9" customWidth="1"/>
    <col min="7" max="7" width="10.140625" style="0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33">
        <v>39814</v>
      </c>
      <c r="P1" s="33">
        <v>39448</v>
      </c>
      <c r="Q1" s="34">
        <v>39083</v>
      </c>
    </row>
    <row r="2" spans="1:17" ht="12.75">
      <c r="A2" s="27" t="s">
        <v>108</v>
      </c>
      <c r="B2" s="35">
        <f>(E2-F2)/F2</f>
        <v>0.4216748134017235</v>
      </c>
      <c r="C2" s="67">
        <f>E2-'[1]Spain'!E2</f>
        <v>-2326.181388035722</v>
      </c>
      <c r="D2" s="13">
        <f>F2-'[1]Spain'!F2</f>
        <v>-1744</v>
      </c>
      <c r="E2" s="149">
        <v>24479.818611964278</v>
      </c>
      <c r="F2" s="13">
        <v>17219</v>
      </c>
      <c r="G2" s="13">
        <v>21947.893571967805</v>
      </c>
      <c r="H2" s="13">
        <v>17995.558718809927</v>
      </c>
      <c r="I2" s="13">
        <v>15970.371276762817</v>
      </c>
      <c r="J2" s="13">
        <v>17243.17074464388</v>
      </c>
      <c r="K2" s="13">
        <v>9140.280586606303</v>
      </c>
      <c r="L2" s="13">
        <v>13553</v>
      </c>
      <c r="M2" s="13">
        <v>13927</v>
      </c>
      <c r="N2" s="13">
        <v>11435</v>
      </c>
      <c r="O2" s="13">
        <v>14269</v>
      </c>
      <c r="P2" s="13">
        <v>15327</v>
      </c>
      <c r="Q2" s="37">
        <v>7059</v>
      </c>
    </row>
    <row r="3" spans="1:17" ht="12.75">
      <c r="A3" s="27" t="s">
        <v>109</v>
      </c>
      <c r="B3" s="35">
        <f aca="true" t="shared" si="0" ref="B3:B8">(E3-F3)/F3</f>
        <v>0.20739513168617243</v>
      </c>
      <c r="C3" s="67">
        <f>E3-'[1]Spain'!E3</f>
        <v>-3578.6850992610325</v>
      </c>
      <c r="D3" s="13">
        <f>F3-'[1]Spain'!F3</f>
        <v>-4597</v>
      </c>
      <c r="E3" s="149">
        <v>11284.314900738967</v>
      </c>
      <c r="F3" s="13">
        <v>9346</v>
      </c>
      <c r="G3" s="13">
        <v>12880.199243041181</v>
      </c>
      <c r="H3" s="13">
        <v>7620.8780762636525</v>
      </c>
      <c r="I3" s="13">
        <v>8856.041109349566</v>
      </c>
      <c r="J3" s="13">
        <v>5288.557597233985</v>
      </c>
      <c r="K3" s="13">
        <v>3951.0145565258013</v>
      </c>
      <c r="L3" s="13">
        <v>7129</v>
      </c>
      <c r="M3" s="13">
        <v>8062</v>
      </c>
      <c r="N3" s="13">
        <v>6065</v>
      </c>
      <c r="O3" s="13">
        <v>8903</v>
      </c>
      <c r="P3" s="13">
        <v>12792</v>
      </c>
      <c r="Q3" s="37">
        <v>4036</v>
      </c>
    </row>
    <row r="4" spans="1:17" ht="12.75">
      <c r="A4" s="27" t="s">
        <v>110</v>
      </c>
      <c r="B4" s="35">
        <f t="shared" si="0"/>
        <v>0.01352185359756609</v>
      </c>
      <c r="C4" s="67">
        <f>E4-'[1]Spain'!E4</f>
        <v>-7988.335824202077</v>
      </c>
      <c r="D4" s="13">
        <f>F4-'[1]Spain'!F4</f>
        <v>-11216</v>
      </c>
      <c r="E4" s="149">
        <v>120126.66417579792</v>
      </c>
      <c r="F4" s="13">
        <v>118524</v>
      </c>
      <c r="G4" s="13">
        <v>139795.839822867</v>
      </c>
      <c r="H4" s="13">
        <v>110099.78099244976</v>
      </c>
      <c r="I4" s="13">
        <v>135594</v>
      </c>
      <c r="J4" s="13">
        <v>116706.18332099359</v>
      </c>
      <c r="K4" s="13">
        <v>85701.06573800594</v>
      </c>
      <c r="L4" s="13">
        <v>130111</v>
      </c>
      <c r="M4" s="13">
        <v>135716</v>
      </c>
      <c r="N4" s="13">
        <v>103802</v>
      </c>
      <c r="O4" s="13">
        <v>132331</v>
      </c>
      <c r="P4" s="13">
        <v>112398</v>
      </c>
      <c r="Q4" s="37">
        <v>105423</v>
      </c>
    </row>
    <row r="5" spans="1:17" ht="12.75">
      <c r="A5" s="27" t="s">
        <v>17</v>
      </c>
      <c r="B5" s="35">
        <f t="shared" si="0"/>
        <v>0.07303729051960728</v>
      </c>
      <c r="C5" s="67">
        <f>E5-'[1]Spain'!E5</f>
        <v>-1983.5994048431385</v>
      </c>
      <c r="D5" s="13">
        <f>F5-'[1]Spain'!F5</f>
        <v>-2576</v>
      </c>
      <c r="E5" s="149">
        <v>20706.40059515686</v>
      </c>
      <c r="F5" s="13">
        <v>19297</v>
      </c>
      <c r="G5" s="13">
        <v>17947.192058989363</v>
      </c>
      <c r="H5" s="13">
        <v>15694.140653312035</v>
      </c>
      <c r="I5" s="13">
        <v>14022</v>
      </c>
      <c r="J5" s="13">
        <v>13495.364778370462</v>
      </c>
      <c r="K5" s="13">
        <v>7811.755753984658</v>
      </c>
      <c r="L5" s="13">
        <v>9752</v>
      </c>
      <c r="M5" s="13">
        <v>6500</v>
      </c>
      <c r="N5" s="13">
        <v>11367</v>
      </c>
      <c r="O5" s="13">
        <v>8133</v>
      </c>
      <c r="P5" s="13">
        <v>6251</v>
      </c>
      <c r="Q5" s="37">
        <v>5170</v>
      </c>
    </row>
    <row r="6" spans="1:17" ht="12.75">
      <c r="A6" s="29" t="s">
        <v>19</v>
      </c>
      <c r="B6" s="35">
        <f t="shared" si="0"/>
        <v>0.1489974940435585</v>
      </c>
      <c r="C6" s="67">
        <f>E6-'[1]Spain'!E6</f>
        <v>-489.318416435628</v>
      </c>
      <c r="D6" s="13">
        <f>F6-'[1]Spain'!F6</f>
        <v>-1293</v>
      </c>
      <c r="E6" s="149">
        <v>17155.681583564372</v>
      </c>
      <c r="F6" s="13">
        <v>14931</v>
      </c>
      <c r="G6" s="113">
        <v>13897.368048096258</v>
      </c>
      <c r="H6" s="113">
        <v>15282.59098418134</v>
      </c>
      <c r="I6" s="113">
        <v>13617</v>
      </c>
      <c r="J6" s="113">
        <v>11315.305589867245</v>
      </c>
      <c r="K6" s="113">
        <v>6681.57287406514</v>
      </c>
      <c r="L6" s="113">
        <v>13212</v>
      </c>
      <c r="M6" s="113">
        <v>15274</v>
      </c>
      <c r="N6" s="113">
        <v>12874</v>
      </c>
      <c r="O6" s="113">
        <v>24378</v>
      </c>
      <c r="P6" s="13">
        <v>20002</v>
      </c>
      <c r="Q6" s="37">
        <v>18511</v>
      </c>
    </row>
    <row r="7" spans="1:17" ht="13.5" thickBot="1">
      <c r="A7" s="30" t="s">
        <v>59</v>
      </c>
      <c r="B7" s="36">
        <f t="shared" si="0"/>
        <v>0.0591681764474202</v>
      </c>
      <c r="C7" s="68">
        <f>E7-'[1]Spain'!E7</f>
        <v>-2330.8600000000006</v>
      </c>
      <c r="D7" s="15">
        <f>F7-'[1]Spain'!F7</f>
        <v>-944</v>
      </c>
      <c r="E7" s="170">
        <v>13446.14</v>
      </c>
      <c r="F7" s="15">
        <v>12695</v>
      </c>
      <c r="G7" s="114">
        <v>11799.26</v>
      </c>
      <c r="H7" s="114">
        <v>10226.42</v>
      </c>
      <c r="I7" s="114">
        <v>10593</v>
      </c>
      <c r="J7" s="114">
        <v>11543.795</v>
      </c>
      <c r="K7" s="114">
        <v>7230.53</v>
      </c>
      <c r="L7" s="114">
        <v>10644</v>
      </c>
      <c r="M7" s="114">
        <v>8352</v>
      </c>
      <c r="N7" s="114">
        <v>7393</v>
      </c>
      <c r="O7" s="114">
        <v>9443</v>
      </c>
      <c r="P7" s="15">
        <v>6515</v>
      </c>
      <c r="Q7" s="39">
        <v>6426</v>
      </c>
    </row>
    <row r="8" spans="1:17" ht="13.5" thickBot="1">
      <c r="A8" s="45" t="s">
        <v>23</v>
      </c>
      <c r="B8" s="41">
        <f t="shared" si="0"/>
        <v>0.07909411842604841</v>
      </c>
      <c r="C8" s="69">
        <f>E8-'[1]Spain'!E8</f>
        <v>-18696.980132777593</v>
      </c>
      <c r="D8" s="42">
        <f>F8-'[1]Spain'!F8</f>
        <v>-22370</v>
      </c>
      <c r="E8" s="142">
        <f>SUM(E2:E7)</f>
        <v>207199.0198672224</v>
      </c>
      <c r="F8" s="42">
        <f aca="true" t="shared" si="1" ref="F8:K8">SUM(F2:F7)</f>
        <v>192012</v>
      </c>
      <c r="G8" s="42">
        <f t="shared" si="1"/>
        <v>218267.75274496165</v>
      </c>
      <c r="H8" s="42">
        <f t="shared" si="1"/>
        <v>176919.36942501672</v>
      </c>
      <c r="I8" s="42">
        <f t="shared" si="1"/>
        <v>198652.41238611238</v>
      </c>
      <c r="J8" s="42">
        <f t="shared" si="1"/>
        <v>175592.37703110915</v>
      </c>
      <c r="K8" s="42">
        <f t="shared" si="1"/>
        <v>120516.21950918784</v>
      </c>
      <c r="L8" s="42">
        <f aca="true" t="shared" si="2" ref="L8:Q8">SUM(L2:L7)</f>
        <v>184401</v>
      </c>
      <c r="M8" s="42">
        <f t="shared" si="2"/>
        <v>187831</v>
      </c>
      <c r="N8" s="42">
        <f t="shared" si="2"/>
        <v>152936</v>
      </c>
      <c r="O8" s="42">
        <f t="shared" si="2"/>
        <v>197457</v>
      </c>
      <c r="P8" s="42">
        <f t="shared" si="2"/>
        <v>173285</v>
      </c>
      <c r="Q8" s="43">
        <f t="shared" si="2"/>
        <v>146625</v>
      </c>
    </row>
    <row r="9" spans="2:15" s="9" customFormat="1" ht="12.75">
      <c r="B9" s="44"/>
      <c r="C9" s="44"/>
      <c r="D9" s="44"/>
      <c r="E9" s="44"/>
      <c r="F9" s="44"/>
      <c r="G9" s="12"/>
      <c r="H9" s="12"/>
      <c r="I9" s="12"/>
      <c r="J9" s="12"/>
      <c r="K9" s="12"/>
      <c r="L9" s="12"/>
      <c r="M9" s="12"/>
      <c r="N9" s="12"/>
      <c r="O9" s="12"/>
    </row>
    <row r="10" spans="2:15" s="9" customFormat="1" ht="13.5" thickBot="1">
      <c r="B10" s="44"/>
      <c r="C10" s="44"/>
      <c r="D10" s="44"/>
      <c r="E10" s="44"/>
      <c r="F10" s="44"/>
      <c r="G10" s="12"/>
      <c r="H10" s="12"/>
      <c r="I10" s="12"/>
      <c r="J10" s="12"/>
      <c r="K10" s="12"/>
      <c r="L10" s="12"/>
      <c r="M10" s="12"/>
      <c r="N10" s="12"/>
      <c r="O10" s="12"/>
    </row>
    <row r="11" spans="1:17" s="16" customFormat="1" ht="13.5" thickBot="1">
      <c r="A11" s="31" t="s">
        <v>25</v>
      </c>
      <c r="B11" s="32" t="s">
        <v>177</v>
      </c>
      <c r="C11" s="66" t="s">
        <v>176</v>
      </c>
      <c r="D11" s="112" t="s">
        <v>173</v>
      </c>
      <c r="E11" s="171">
        <v>43466</v>
      </c>
      <c r="F11" s="33">
        <v>43101</v>
      </c>
      <c r="G11" s="33">
        <v>42736</v>
      </c>
      <c r="H11" s="33">
        <f>H1</f>
        <v>42370</v>
      </c>
      <c r="I11" s="33">
        <f>I1</f>
        <v>42005</v>
      </c>
      <c r="J11" s="33">
        <v>41640</v>
      </c>
      <c r="K11" s="33">
        <v>41275</v>
      </c>
      <c r="L11" s="33">
        <v>40909</v>
      </c>
      <c r="M11" s="33">
        <v>40544</v>
      </c>
      <c r="N11" s="33">
        <v>40179</v>
      </c>
      <c r="O11" s="33">
        <v>39814</v>
      </c>
      <c r="P11" s="33">
        <v>39448</v>
      </c>
      <c r="Q11" s="34">
        <v>39083</v>
      </c>
    </row>
    <row r="12" spans="1:17" ht="12.75">
      <c r="A12" s="27" t="s">
        <v>38</v>
      </c>
      <c r="B12" s="35">
        <f aca="true" t="shared" si="3" ref="B12:B17">(E12-F12)/F12</f>
        <v>-0.14039062215831793</v>
      </c>
      <c r="C12" s="67">
        <f>E12-'[1]Spain'!E12</f>
        <v>-309.5279573434882</v>
      </c>
      <c r="D12" s="13">
        <f>F12-'[1]Spain'!F12</f>
        <v>-1041</v>
      </c>
      <c r="E12" s="149">
        <v>3450.472042656512</v>
      </c>
      <c r="F12" s="13">
        <v>4014</v>
      </c>
      <c r="G12" s="13">
        <v>3910.872131010896</v>
      </c>
      <c r="H12" s="13">
        <v>3150.0488804605934</v>
      </c>
      <c r="I12" s="13">
        <v>3397</v>
      </c>
      <c r="J12" s="13">
        <v>7092.875685956342</v>
      </c>
      <c r="K12" s="13">
        <v>3096.412049530042</v>
      </c>
      <c r="L12" s="13">
        <v>7317</v>
      </c>
      <c r="M12" s="13">
        <v>6917</v>
      </c>
      <c r="N12" s="13">
        <v>6289</v>
      </c>
      <c r="O12" s="13">
        <v>4999</v>
      </c>
      <c r="P12" s="13">
        <v>6960</v>
      </c>
      <c r="Q12" s="37">
        <v>9617</v>
      </c>
    </row>
    <row r="13" spans="1:17" ht="12.75">
      <c r="A13" s="27" t="s">
        <v>39</v>
      </c>
      <c r="B13" s="35">
        <f t="shared" si="3"/>
        <v>-0.2757155904201364</v>
      </c>
      <c r="C13" s="67">
        <f>E13-'[1]Spain'!E13</f>
        <v>-705.4432518973254</v>
      </c>
      <c r="D13" s="13">
        <f>F13-'[1]Spain'!F13</f>
        <v>-2201</v>
      </c>
      <c r="E13" s="149">
        <v>7356.556748102675</v>
      </c>
      <c r="F13" s="13">
        <v>10157</v>
      </c>
      <c r="G13" s="13">
        <v>11076.289876382929</v>
      </c>
      <c r="H13" s="13">
        <v>8646.386958419102</v>
      </c>
      <c r="I13" s="13">
        <v>12489</v>
      </c>
      <c r="J13" s="13">
        <v>12510.793281343675</v>
      </c>
      <c r="K13" s="13">
        <v>9076.109206672782</v>
      </c>
      <c r="L13" s="13">
        <v>15725</v>
      </c>
      <c r="M13" s="13">
        <v>22944</v>
      </c>
      <c r="N13" s="13">
        <v>20736</v>
      </c>
      <c r="O13" s="13">
        <v>14373</v>
      </c>
      <c r="P13" s="13">
        <v>31359</v>
      </c>
      <c r="Q13" s="37">
        <v>28420</v>
      </c>
    </row>
    <row r="14" spans="1:17" ht="12.75">
      <c r="A14" s="27" t="s">
        <v>7</v>
      </c>
      <c r="B14" s="35">
        <f t="shared" si="3"/>
        <v>-0.09643756627113274</v>
      </c>
      <c r="C14" s="67">
        <f>E14-'[1]Spain'!E14</f>
        <v>-2538.2557790450737</v>
      </c>
      <c r="D14" s="13">
        <f>F14-'[1]Spain'!F14</f>
        <v>-6209</v>
      </c>
      <c r="E14" s="149">
        <v>51524.744220954926</v>
      </c>
      <c r="F14" s="13">
        <v>57024</v>
      </c>
      <c r="G14" s="13">
        <v>46970.80316441164</v>
      </c>
      <c r="H14" s="13">
        <v>46794.18586464301</v>
      </c>
      <c r="I14" s="13">
        <v>57956</v>
      </c>
      <c r="J14" s="13">
        <v>71430.9362730751</v>
      </c>
      <c r="K14" s="13">
        <v>41214.02394932227</v>
      </c>
      <c r="L14" s="13">
        <v>77753</v>
      </c>
      <c r="M14" s="13">
        <v>77458</v>
      </c>
      <c r="N14" s="13">
        <v>49656</v>
      </c>
      <c r="O14" s="13">
        <v>65039</v>
      </c>
      <c r="P14" s="13">
        <v>41256</v>
      </c>
      <c r="Q14" s="37">
        <v>56649</v>
      </c>
    </row>
    <row r="15" spans="1:17" ht="12.75">
      <c r="A15" s="27" t="s">
        <v>111</v>
      </c>
      <c r="B15" s="35"/>
      <c r="C15" s="67">
        <f>E15-'[1]Spain'!E15</f>
        <v>-427.02</v>
      </c>
      <c r="D15" s="13">
        <f>F15-'[1]Spain'!F15</f>
        <v>0</v>
      </c>
      <c r="E15" s="149">
        <v>100.98</v>
      </c>
      <c r="F15" s="13">
        <v>0</v>
      </c>
      <c r="G15" s="13">
        <v>0</v>
      </c>
      <c r="H15" s="13">
        <v>11.879999999999999</v>
      </c>
      <c r="I15" s="13">
        <v>22</v>
      </c>
      <c r="J15" s="13">
        <v>483.16653</v>
      </c>
      <c r="K15" s="13">
        <v>0</v>
      </c>
      <c r="L15" s="13">
        <v>0</v>
      </c>
      <c r="M15" s="13">
        <v>19</v>
      </c>
      <c r="N15" s="13">
        <v>0</v>
      </c>
      <c r="O15" s="13">
        <v>11</v>
      </c>
      <c r="P15" s="13">
        <v>47</v>
      </c>
      <c r="Q15" s="37"/>
    </row>
    <row r="16" spans="1:17" ht="13.5" thickBot="1">
      <c r="A16" s="38" t="s">
        <v>59</v>
      </c>
      <c r="B16" s="36">
        <f t="shared" si="3"/>
        <v>-0.06993279909464617</v>
      </c>
      <c r="C16" s="68">
        <f>E16-'[1]Spain'!E16</f>
        <v>-1907.8359004419594</v>
      </c>
      <c r="D16" s="15">
        <f>F16-'[1]Spain'!F16</f>
        <v>-1998</v>
      </c>
      <c r="E16" s="170">
        <v>3655.1640995580406</v>
      </c>
      <c r="F16" s="15">
        <v>3930</v>
      </c>
      <c r="G16" s="15">
        <v>3864.305854707187</v>
      </c>
      <c r="H16" s="15">
        <v>3548.987255213086</v>
      </c>
      <c r="I16" s="15">
        <v>3692</v>
      </c>
      <c r="J16" s="15">
        <v>5231.943727652682</v>
      </c>
      <c r="K16" s="15">
        <v>2636.0759679349812</v>
      </c>
      <c r="L16" s="15">
        <v>8853</v>
      </c>
      <c r="M16" s="15">
        <v>6447</v>
      </c>
      <c r="N16" s="15">
        <v>4430</v>
      </c>
      <c r="O16" s="15">
        <v>6081</v>
      </c>
      <c r="P16" s="15">
        <v>8474</v>
      </c>
      <c r="Q16" s="39">
        <v>9793</v>
      </c>
    </row>
    <row r="17" spans="1:17" ht="13.5" thickBot="1">
      <c r="A17" s="40" t="s">
        <v>23</v>
      </c>
      <c r="B17" s="41">
        <f t="shared" si="3"/>
        <v>-0.12029394860203457</v>
      </c>
      <c r="C17" s="69">
        <f>E17-'[1]Spain'!E17</f>
        <v>-5888.082888727848</v>
      </c>
      <c r="D17" s="42">
        <f>F17-'[1]Spain'!F17</f>
        <v>-11449</v>
      </c>
      <c r="E17" s="142">
        <f>SUM(E12:E16)</f>
        <v>66087.91711127215</v>
      </c>
      <c r="F17" s="42">
        <f aca="true" t="shared" si="4" ref="F17:K17">SUM(F12:F16)</f>
        <v>75125</v>
      </c>
      <c r="G17" s="42">
        <f t="shared" si="4"/>
        <v>65822.27102651265</v>
      </c>
      <c r="H17" s="42">
        <f t="shared" si="4"/>
        <v>62151.48895873579</v>
      </c>
      <c r="I17" s="42">
        <f t="shared" si="4"/>
        <v>77556</v>
      </c>
      <c r="J17" s="42">
        <f t="shared" si="4"/>
        <v>96749.71549802781</v>
      </c>
      <c r="K17" s="42">
        <f t="shared" si="4"/>
        <v>56022.62117346007</v>
      </c>
      <c r="L17" s="42">
        <f aca="true" t="shared" si="5" ref="L17:Q17">SUM(L12:L16)</f>
        <v>109648</v>
      </c>
      <c r="M17" s="42">
        <f t="shared" si="5"/>
        <v>113785</v>
      </c>
      <c r="N17" s="42">
        <f t="shared" si="5"/>
        <v>81111</v>
      </c>
      <c r="O17" s="42">
        <f t="shared" si="5"/>
        <v>90503</v>
      </c>
      <c r="P17" s="42">
        <f t="shared" si="5"/>
        <v>88096</v>
      </c>
      <c r="Q17" s="43">
        <f t="shared" si="5"/>
        <v>104479</v>
      </c>
    </row>
    <row r="24" spans="16:18" ht="18">
      <c r="P24" s="5"/>
      <c r="Q24" s="1"/>
      <c r="R24" s="1"/>
    </row>
    <row r="25" spans="16:18" ht="18">
      <c r="P25" s="5"/>
      <c r="Q25" s="1"/>
      <c r="R25" s="1"/>
    </row>
    <row r="26" spans="16:18" ht="18">
      <c r="P26" s="5"/>
      <c r="Q26" s="1"/>
      <c r="R26" s="1"/>
    </row>
    <row r="27" spans="16:18" ht="18">
      <c r="P27" s="5"/>
      <c r="Q27" s="1"/>
      <c r="R27" s="1"/>
    </row>
    <row r="28" spans="16:18" ht="18">
      <c r="P28" s="5"/>
      <c r="Q28" s="1"/>
      <c r="R28" s="1"/>
    </row>
    <row r="29" spans="16:18" ht="18">
      <c r="P29" s="5"/>
      <c r="Q29" s="1"/>
      <c r="R29" s="1"/>
    </row>
    <row r="30" spans="16:18" ht="18">
      <c r="P30" s="5"/>
      <c r="Q30" s="1"/>
      <c r="R30" s="1"/>
    </row>
    <row r="31" spans="16:18" ht="18">
      <c r="P31" s="5"/>
      <c r="Q31" s="1"/>
      <c r="R31" s="1"/>
    </row>
    <row r="32" spans="16:18" ht="18">
      <c r="P32" s="5"/>
      <c r="Q32" s="1"/>
      <c r="R32" s="1"/>
    </row>
    <row r="33" spans="16:18" ht="18">
      <c r="P33" s="5"/>
      <c r="Q33" s="1"/>
      <c r="R33" s="1"/>
    </row>
    <row r="34" spans="16:18" ht="18">
      <c r="P34" s="6"/>
      <c r="Q34" s="1"/>
      <c r="R34" s="1"/>
    </row>
    <row r="35" spans="16:18" ht="18.75">
      <c r="P35" s="7"/>
      <c r="Q35" s="2"/>
      <c r="R3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8515625" style="0" customWidth="1"/>
    <col min="4" max="6" width="12.00390625" style="9" customWidth="1"/>
    <col min="7" max="7" width="10.140625" style="0" bestFit="1" customWidth="1"/>
    <col min="8" max="15" width="10.140625" style="16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33">
        <v>39814</v>
      </c>
      <c r="P1" s="33">
        <v>39448</v>
      </c>
      <c r="Q1" s="34">
        <v>39083</v>
      </c>
    </row>
    <row r="2" spans="1:17" ht="12.75">
      <c r="A2" s="27" t="s">
        <v>4</v>
      </c>
      <c r="B2" s="35">
        <f>(E2-F2)/F2</f>
        <v>57.90909090909091</v>
      </c>
      <c r="C2" s="67">
        <f>E2-'[1]Switzerland'!E2</f>
        <v>-298</v>
      </c>
      <c r="D2" s="13">
        <f>F2-'[1]Switzerland'!F2</f>
        <v>-16</v>
      </c>
      <c r="E2" s="149">
        <f>591+57</f>
        <v>648</v>
      </c>
      <c r="F2" s="13">
        <v>11</v>
      </c>
      <c r="G2" s="13">
        <v>305</v>
      </c>
      <c r="H2" s="13">
        <v>78</v>
      </c>
      <c r="I2" s="13">
        <v>155</v>
      </c>
      <c r="J2" s="13">
        <v>182</v>
      </c>
      <c r="K2" s="13">
        <v>183</v>
      </c>
      <c r="L2" s="13">
        <v>301</v>
      </c>
      <c r="M2" s="13">
        <v>230</v>
      </c>
      <c r="N2" s="13">
        <v>65</v>
      </c>
      <c r="O2" s="13">
        <v>1170</v>
      </c>
      <c r="P2" s="13">
        <v>1086</v>
      </c>
      <c r="Q2" s="37">
        <v>704</v>
      </c>
    </row>
    <row r="3" spans="1:17" ht="12.75">
      <c r="A3" s="27" t="s">
        <v>11</v>
      </c>
      <c r="B3" s="35">
        <f aca="true" t="shared" si="0" ref="B3:B19">(E3-F3)/F3</f>
        <v>1.0822067160924553</v>
      </c>
      <c r="C3" s="67">
        <f>E3-'[1]Switzerland'!E3</f>
        <v>-271</v>
      </c>
      <c r="D3" s="13">
        <f>F3-'[1]Switzerland'!F3</f>
        <v>-717</v>
      </c>
      <c r="E3" s="149">
        <f>9284+265</f>
        <v>9549</v>
      </c>
      <c r="F3" s="13">
        <v>4586</v>
      </c>
      <c r="G3" s="13">
        <v>8193</v>
      </c>
      <c r="H3" s="13">
        <v>8854</v>
      </c>
      <c r="I3" s="13">
        <v>7838</v>
      </c>
      <c r="J3" s="13">
        <v>8989</v>
      </c>
      <c r="K3" s="13">
        <v>8026</v>
      </c>
      <c r="L3" s="13">
        <v>8450</v>
      </c>
      <c r="M3" s="13">
        <v>7497</v>
      </c>
      <c r="N3" s="13">
        <v>7677</v>
      </c>
      <c r="O3" s="13">
        <v>5553</v>
      </c>
      <c r="P3" s="13">
        <v>5784</v>
      </c>
      <c r="Q3" s="37">
        <v>4790</v>
      </c>
    </row>
    <row r="4" spans="1:17" ht="12.75">
      <c r="A4" s="27" t="s">
        <v>5</v>
      </c>
      <c r="B4" s="35"/>
      <c r="C4" s="67">
        <f>E4-'[1]Switzerland'!E4</f>
        <v>-243</v>
      </c>
      <c r="D4" s="13">
        <f>F4-'[1]Switzerland'!F4</f>
        <v>0</v>
      </c>
      <c r="E4" s="149">
        <f>93</f>
        <v>93</v>
      </c>
      <c r="F4" s="13">
        <v>0</v>
      </c>
      <c r="G4" s="13">
        <v>0</v>
      </c>
      <c r="H4" s="13">
        <v>1</v>
      </c>
      <c r="I4" s="13">
        <v>0</v>
      </c>
      <c r="J4" s="13">
        <v>6</v>
      </c>
      <c r="K4" s="13">
        <v>1</v>
      </c>
      <c r="L4" s="13">
        <v>195</v>
      </c>
      <c r="M4" s="13">
        <v>2</v>
      </c>
      <c r="N4" s="13">
        <v>55</v>
      </c>
      <c r="O4" s="13">
        <v>55</v>
      </c>
      <c r="P4" s="13">
        <v>81</v>
      </c>
      <c r="Q4" s="37">
        <v>58</v>
      </c>
    </row>
    <row r="5" spans="1:17" ht="12.75">
      <c r="A5" s="27" t="s">
        <v>2</v>
      </c>
      <c r="B5" s="35">
        <f t="shared" si="0"/>
        <v>12.5</v>
      </c>
      <c r="C5" s="67">
        <f>E5-'[1]Switzerland'!E5</f>
        <v>27</v>
      </c>
      <c r="D5" s="13">
        <f>F5-'[1]Switzerland'!F5</f>
        <v>-10</v>
      </c>
      <c r="E5" s="149">
        <v>27</v>
      </c>
      <c r="F5" s="13">
        <v>2</v>
      </c>
      <c r="G5" s="13">
        <v>89</v>
      </c>
      <c r="H5" s="13">
        <v>0</v>
      </c>
      <c r="I5" s="13">
        <v>9</v>
      </c>
      <c r="J5" s="13">
        <v>77</v>
      </c>
      <c r="K5" s="13">
        <v>17</v>
      </c>
      <c r="L5" s="13">
        <v>101</v>
      </c>
      <c r="M5" s="13">
        <v>3</v>
      </c>
      <c r="N5" s="13">
        <v>19</v>
      </c>
      <c r="O5" s="13">
        <v>12</v>
      </c>
      <c r="P5" s="13">
        <v>160</v>
      </c>
      <c r="Q5" s="37">
        <v>33</v>
      </c>
    </row>
    <row r="6" spans="1:17" ht="12.75">
      <c r="A6" s="27" t="s">
        <v>9</v>
      </c>
      <c r="B6" s="35">
        <f t="shared" si="0"/>
        <v>0.7231575330699193</v>
      </c>
      <c r="C6" s="67">
        <f>E6-'[1]Switzerland'!E6</f>
        <v>-1086</v>
      </c>
      <c r="D6" s="13">
        <f>F6-'[1]Switzerland'!F6</f>
        <v>-1937</v>
      </c>
      <c r="E6" s="149">
        <f>18812+1249</f>
        <v>20061</v>
      </c>
      <c r="F6" s="13">
        <f>11256+386</f>
        <v>11642</v>
      </c>
      <c r="G6" s="13">
        <v>14666</v>
      </c>
      <c r="H6" s="13">
        <v>17265</v>
      </c>
      <c r="I6" s="13">
        <v>15523</v>
      </c>
      <c r="J6" s="13">
        <v>16817</v>
      </c>
      <c r="K6" s="13">
        <v>15264</v>
      </c>
      <c r="L6" s="13">
        <v>19036</v>
      </c>
      <c r="M6" s="13">
        <v>15205</v>
      </c>
      <c r="N6" s="13">
        <v>17437</v>
      </c>
      <c r="O6" s="13">
        <v>12198</v>
      </c>
      <c r="P6" s="13">
        <v>14926</v>
      </c>
      <c r="Q6" s="37">
        <v>11521</v>
      </c>
    </row>
    <row r="7" spans="1:17" ht="12.75">
      <c r="A7" s="27" t="s">
        <v>112</v>
      </c>
      <c r="B7" s="35">
        <f t="shared" si="0"/>
        <v>2.65625</v>
      </c>
      <c r="C7" s="67">
        <f>E7-'[1]Switzerland'!E7</f>
        <v>39</v>
      </c>
      <c r="D7" s="13">
        <f>F7-'[1]Switzerland'!F7</f>
        <v>-4</v>
      </c>
      <c r="E7" s="149">
        <f>77+40</f>
        <v>117</v>
      </c>
      <c r="F7" s="13">
        <v>32</v>
      </c>
      <c r="G7" s="13">
        <v>120</v>
      </c>
      <c r="H7" s="13">
        <v>176</v>
      </c>
      <c r="I7" s="13">
        <v>96</v>
      </c>
      <c r="J7" s="13">
        <v>180</v>
      </c>
      <c r="K7" s="13">
        <v>194</v>
      </c>
      <c r="L7" s="13">
        <v>190</v>
      </c>
      <c r="M7" s="13">
        <v>538</v>
      </c>
      <c r="N7" s="13">
        <v>363</v>
      </c>
      <c r="O7" s="13">
        <v>675</v>
      </c>
      <c r="P7" s="13">
        <v>514</v>
      </c>
      <c r="Q7" s="37">
        <v>649</v>
      </c>
    </row>
    <row r="8" spans="1:17" ht="12.75">
      <c r="A8" s="29" t="s">
        <v>3</v>
      </c>
      <c r="B8" s="35">
        <f t="shared" si="0"/>
        <v>0.029829400347328634</v>
      </c>
      <c r="C8" s="67">
        <f>E8-'[1]Switzerland'!E8</f>
        <v>-673</v>
      </c>
      <c r="D8" s="13">
        <f>F8-'[1]Switzerland'!F8</f>
        <v>-1242</v>
      </c>
      <c r="E8" s="149">
        <f>9954+127</f>
        <v>10081</v>
      </c>
      <c r="F8" s="13">
        <v>9789</v>
      </c>
      <c r="G8" s="13">
        <v>14151</v>
      </c>
      <c r="H8" s="113">
        <v>11939</v>
      </c>
      <c r="I8" s="113">
        <v>13061</v>
      </c>
      <c r="J8" s="113">
        <v>12080</v>
      </c>
      <c r="K8" s="113">
        <v>14775</v>
      </c>
      <c r="L8" s="113">
        <v>14751</v>
      </c>
      <c r="M8" s="113">
        <v>16844</v>
      </c>
      <c r="N8" s="113">
        <v>17970</v>
      </c>
      <c r="O8" s="113">
        <v>18019</v>
      </c>
      <c r="P8" s="13">
        <v>18880</v>
      </c>
      <c r="Q8" s="37">
        <v>19998</v>
      </c>
    </row>
    <row r="9" spans="1:17" ht="12.75">
      <c r="A9" s="29" t="s">
        <v>17</v>
      </c>
      <c r="B9" s="35">
        <f t="shared" si="0"/>
        <v>0.4104803493449782</v>
      </c>
      <c r="C9" s="67">
        <f>E9-'[1]Switzerland'!E9</f>
        <v>-139</v>
      </c>
      <c r="D9" s="13">
        <f>F9-'[1]Switzerland'!F9</f>
        <v>-54</v>
      </c>
      <c r="E9" s="149">
        <v>323</v>
      </c>
      <c r="F9" s="13">
        <v>229</v>
      </c>
      <c r="G9" s="13">
        <v>372</v>
      </c>
      <c r="H9" s="113">
        <v>275</v>
      </c>
      <c r="I9" s="113">
        <v>369</v>
      </c>
      <c r="J9" s="113">
        <v>335</v>
      </c>
      <c r="K9" s="113">
        <v>341</v>
      </c>
      <c r="L9" s="113">
        <v>216</v>
      </c>
      <c r="M9" s="113">
        <v>389</v>
      </c>
      <c r="N9" s="113">
        <v>238</v>
      </c>
      <c r="O9" s="113">
        <v>599</v>
      </c>
      <c r="P9" s="13">
        <v>157</v>
      </c>
      <c r="Q9" s="37">
        <v>446</v>
      </c>
    </row>
    <row r="10" spans="1:17" ht="12.75">
      <c r="A10" s="29" t="s">
        <v>10</v>
      </c>
      <c r="B10" s="35">
        <f t="shared" si="0"/>
        <v>1.579268292682927</v>
      </c>
      <c r="C10" s="67">
        <f>E10-'[1]Switzerland'!E10</f>
        <v>129</v>
      </c>
      <c r="D10" s="13">
        <f>F10-'[1]Switzerland'!F10</f>
        <v>-9</v>
      </c>
      <c r="E10" s="149">
        <f>314+109</f>
        <v>423</v>
      </c>
      <c r="F10" s="13">
        <v>164</v>
      </c>
      <c r="G10" s="13">
        <v>529</v>
      </c>
      <c r="H10" s="113">
        <v>1097</v>
      </c>
      <c r="I10" s="113">
        <v>1122</v>
      </c>
      <c r="J10" s="113">
        <v>1640</v>
      </c>
      <c r="K10" s="113">
        <v>1735</v>
      </c>
      <c r="L10" s="113">
        <v>1102</v>
      </c>
      <c r="M10" s="113">
        <v>2712</v>
      </c>
      <c r="N10" s="113">
        <v>2378</v>
      </c>
      <c r="O10" s="113">
        <v>3239</v>
      </c>
      <c r="P10" s="13">
        <v>2126</v>
      </c>
      <c r="Q10" s="37">
        <v>3290</v>
      </c>
    </row>
    <row r="11" spans="1:17" ht="12.75">
      <c r="A11" s="29" t="s">
        <v>27</v>
      </c>
      <c r="B11" s="35">
        <f t="shared" si="0"/>
        <v>15.950413223140496</v>
      </c>
      <c r="C11" s="67">
        <f>E11-'[1]Switzerland'!E11</f>
        <v>5</v>
      </c>
      <c r="D11" s="13">
        <f>F11-'[1]Switzerland'!F11</f>
        <v>-16</v>
      </c>
      <c r="E11" s="149">
        <f>1939+112</f>
        <v>2051</v>
      </c>
      <c r="F11" s="13">
        <v>121</v>
      </c>
      <c r="G11" s="13">
        <v>3023</v>
      </c>
      <c r="H11" s="113">
        <v>2380</v>
      </c>
      <c r="I11" s="113">
        <v>2891</v>
      </c>
      <c r="J11" s="113">
        <v>2982</v>
      </c>
      <c r="K11" s="113">
        <v>2920</v>
      </c>
      <c r="L11" s="113">
        <v>3396</v>
      </c>
      <c r="M11" s="113">
        <v>2798</v>
      </c>
      <c r="N11" s="113">
        <v>3725</v>
      </c>
      <c r="O11" s="113">
        <v>4036</v>
      </c>
      <c r="P11" s="13">
        <v>3964</v>
      </c>
      <c r="Q11" s="37">
        <v>3909</v>
      </c>
    </row>
    <row r="12" spans="1:17" ht="12.75">
      <c r="A12" s="29" t="s">
        <v>113</v>
      </c>
      <c r="B12" s="35"/>
      <c r="C12" s="67">
        <f>E12-'[1]Switzerland'!E12</f>
        <v>276</v>
      </c>
      <c r="D12" s="13">
        <f>F12-'[1]Switzerland'!F12</f>
        <v>0</v>
      </c>
      <c r="E12" s="149">
        <v>286</v>
      </c>
      <c r="F12" s="13">
        <v>0</v>
      </c>
      <c r="G12" s="13">
        <v>167</v>
      </c>
      <c r="H12" s="113">
        <v>155</v>
      </c>
      <c r="I12" s="113">
        <v>193</v>
      </c>
      <c r="J12" s="113">
        <v>270</v>
      </c>
      <c r="K12" s="113">
        <v>113</v>
      </c>
      <c r="L12" s="113">
        <v>144</v>
      </c>
      <c r="M12" s="113">
        <v>141</v>
      </c>
      <c r="N12" s="113">
        <v>84</v>
      </c>
      <c r="O12" s="113">
        <v>181</v>
      </c>
      <c r="P12" s="13">
        <v>122</v>
      </c>
      <c r="Q12" s="37">
        <v>195</v>
      </c>
    </row>
    <row r="13" spans="1:17" ht="12.75">
      <c r="A13" s="29" t="s">
        <v>114</v>
      </c>
      <c r="B13" s="35">
        <f t="shared" si="0"/>
        <v>2.2666666666666666</v>
      </c>
      <c r="C13" s="67">
        <f>E13-'[1]Switzerland'!E13</f>
        <v>318</v>
      </c>
      <c r="D13" s="13">
        <f>F13-'[1]Switzerland'!F13</f>
        <v>-9</v>
      </c>
      <c r="E13" s="149">
        <f>63+329</f>
        <v>392</v>
      </c>
      <c r="F13" s="13">
        <v>120</v>
      </c>
      <c r="G13" s="13">
        <v>263</v>
      </c>
      <c r="H13" s="113">
        <v>528</v>
      </c>
      <c r="I13" s="113">
        <v>832</v>
      </c>
      <c r="J13" s="113">
        <v>921</v>
      </c>
      <c r="K13" s="113">
        <v>1581</v>
      </c>
      <c r="L13" s="113">
        <v>2033</v>
      </c>
      <c r="M13" s="113">
        <v>3533</v>
      </c>
      <c r="N13" s="113">
        <v>4092</v>
      </c>
      <c r="O13" s="113">
        <v>4424</v>
      </c>
      <c r="P13" s="13">
        <v>5500</v>
      </c>
      <c r="Q13" s="37">
        <v>7314</v>
      </c>
    </row>
    <row r="14" spans="1:17" ht="12.75">
      <c r="A14" s="29" t="s">
        <v>13</v>
      </c>
      <c r="B14" s="35">
        <f t="shared" si="0"/>
        <v>2.1157894736842104</v>
      </c>
      <c r="C14" s="67">
        <f>E14-'[1]Switzerland'!E14</f>
        <v>115</v>
      </c>
      <c r="D14" s="13">
        <f>F14-'[1]Switzerland'!F14</f>
        <v>-59</v>
      </c>
      <c r="E14" s="149">
        <f>202+94</f>
        <v>296</v>
      </c>
      <c r="F14" s="13">
        <v>95</v>
      </c>
      <c r="G14" s="13">
        <v>325</v>
      </c>
      <c r="H14" s="113">
        <v>436</v>
      </c>
      <c r="I14" s="113">
        <v>335</v>
      </c>
      <c r="J14" s="113">
        <v>657</v>
      </c>
      <c r="K14" s="113">
        <v>819</v>
      </c>
      <c r="L14" s="113">
        <v>938</v>
      </c>
      <c r="M14" s="113">
        <v>904</v>
      </c>
      <c r="N14" s="113">
        <v>982</v>
      </c>
      <c r="O14" s="113">
        <v>881</v>
      </c>
      <c r="P14" s="13">
        <v>762</v>
      </c>
      <c r="Q14" s="37">
        <v>711</v>
      </c>
    </row>
    <row r="15" spans="1:17" ht="12.75">
      <c r="A15" s="29" t="s">
        <v>115</v>
      </c>
      <c r="B15" s="35"/>
      <c r="C15" s="67">
        <f>E15-'[1]Switzerland'!E15</f>
        <v>-3</v>
      </c>
      <c r="D15" s="13">
        <f>F15-'[1]Switzerland'!F15</f>
        <v>-1</v>
      </c>
      <c r="E15" s="149">
        <f>30+5</f>
        <v>35</v>
      </c>
      <c r="F15" s="13">
        <v>0</v>
      </c>
      <c r="G15" s="13">
        <v>4</v>
      </c>
      <c r="H15" s="113">
        <v>2</v>
      </c>
      <c r="I15" s="113">
        <v>11</v>
      </c>
      <c r="J15" s="113">
        <v>27</v>
      </c>
      <c r="K15" s="113">
        <v>10</v>
      </c>
      <c r="L15" s="113">
        <v>33</v>
      </c>
      <c r="M15" s="113">
        <v>2</v>
      </c>
      <c r="N15" s="113">
        <v>10</v>
      </c>
      <c r="O15" s="113">
        <v>42</v>
      </c>
      <c r="P15" s="13">
        <v>34</v>
      </c>
      <c r="Q15" s="37">
        <v>79</v>
      </c>
    </row>
    <row r="16" spans="1:17" ht="12.75">
      <c r="A16" s="29" t="s">
        <v>96</v>
      </c>
      <c r="B16" s="35">
        <f t="shared" si="0"/>
        <v>3.3615023474178405</v>
      </c>
      <c r="C16" s="67">
        <f>E16-'[1]Switzerland'!E16</f>
        <v>598</v>
      </c>
      <c r="D16" s="13">
        <f>F16-'[1]Switzerland'!F16</f>
        <v>-57</v>
      </c>
      <c r="E16" s="149">
        <f>280+649</f>
        <v>929</v>
      </c>
      <c r="F16" s="13">
        <v>213</v>
      </c>
      <c r="G16" s="113">
        <v>561</v>
      </c>
      <c r="H16" s="113">
        <v>981</v>
      </c>
      <c r="I16" s="113">
        <v>1068</v>
      </c>
      <c r="J16" s="113">
        <v>1340</v>
      </c>
      <c r="K16" s="113">
        <v>1349</v>
      </c>
      <c r="L16" s="113">
        <v>1571</v>
      </c>
      <c r="M16" s="113">
        <v>1238</v>
      </c>
      <c r="N16" s="113">
        <v>1356</v>
      </c>
      <c r="O16" s="113">
        <v>928</v>
      </c>
      <c r="P16" s="13">
        <v>1379</v>
      </c>
      <c r="Q16" s="37">
        <v>1141</v>
      </c>
    </row>
    <row r="17" spans="1:17" ht="12.75">
      <c r="A17" s="57" t="s">
        <v>87</v>
      </c>
      <c r="B17" s="35">
        <f t="shared" si="0"/>
        <v>0.7316783309124522</v>
      </c>
      <c r="C17" s="67">
        <f>E17-'[1]Switzerland'!E17</f>
        <v>-312</v>
      </c>
      <c r="D17" s="13">
        <f>F17-'[1]Switzerland'!F17</f>
        <v>-912</v>
      </c>
      <c r="E17" s="149">
        <f>12889+225</f>
        <v>13114</v>
      </c>
      <c r="F17" s="13">
        <f>7483+90</f>
        <v>7573</v>
      </c>
      <c r="G17" s="113">
        <v>10888</v>
      </c>
      <c r="H17" s="113">
        <v>8445</v>
      </c>
      <c r="I17" s="113">
        <v>9092</v>
      </c>
      <c r="J17" s="113">
        <v>10241</v>
      </c>
      <c r="K17" s="113">
        <v>7484</v>
      </c>
      <c r="L17" s="113">
        <v>8813</v>
      </c>
      <c r="M17" s="113">
        <v>4974</v>
      </c>
      <c r="N17" s="113">
        <f>354+526+3563</f>
        <v>4443</v>
      </c>
      <c r="O17" s="113">
        <v>1772</v>
      </c>
      <c r="P17" s="13">
        <v>1434</v>
      </c>
      <c r="Q17" s="37">
        <v>696</v>
      </c>
    </row>
    <row r="18" spans="1:17" ht="13.5" thickBot="1">
      <c r="A18" s="30" t="s">
        <v>59</v>
      </c>
      <c r="B18" s="36">
        <f t="shared" si="0"/>
        <v>1.639135959339263</v>
      </c>
      <c r="C18" s="68">
        <f>E18-'[1]Switzerland'!E18</f>
        <v>361</v>
      </c>
      <c r="D18" s="15">
        <f>F18-'[1]Switzerland'!F18</f>
        <v>-188</v>
      </c>
      <c r="E18" s="170">
        <f>347+640+620+38+2464+45</f>
        <v>4154</v>
      </c>
      <c r="F18" s="15">
        <f>320+459+293+8+494</f>
        <v>1574</v>
      </c>
      <c r="G18" s="114">
        <v>3103</v>
      </c>
      <c r="H18" s="114">
        <v>3661</v>
      </c>
      <c r="I18" s="114">
        <v>3825</v>
      </c>
      <c r="J18" s="114">
        <v>1038</v>
      </c>
      <c r="K18" s="114">
        <v>681</v>
      </c>
      <c r="L18" s="114">
        <v>612</v>
      </c>
      <c r="M18" s="114">
        <v>522</v>
      </c>
      <c r="N18" s="114">
        <v>729</v>
      </c>
      <c r="O18" s="114">
        <v>665</v>
      </c>
      <c r="P18" s="15">
        <v>584</v>
      </c>
      <c r="Q18" s="39">
        <v>758</v>
      </c>
    </row>
    <row r="19" spans="1:17" ht="13.5" thickBot="1">
      <c r="A19" s="45" t="s">
        <v>23</v>
      </c>
      <c r="B19" s="41">
        <f t="shared" si="0"/>
        <v>0.7310447843766424</v>
      </c>
      <c r="C19" s="69">
        <f>E19-'[1]Switzerland'!E19</f>
        <v>-1157</v>
      </c>
      <c r="D19" s="42">
        <f>F19-'[1]Switzerland'!F19</f>
        <v>-5231</v>
      </c>
      <c r="E19" s="142">
        <f>SUM(E2:E18)</f>
        <v>62579</v>
      </c>
      <c r="F19" s="42">
        <f aca="true" t="shared" si="1" ref="F19:K19">SUM(F2:F18)</f>
        <v>36151</v>
      </c>
      <c r="G19" s="42">
        <f t="shared" si="1"/>
        <v>56759</v>
      </c>
      <c r="H19" s="42">
        <f t="shared" si="1"/>
        <v>56273</v>
      </c>
      <c r="I19" s="42">
        <f t="shared" si="1"/>
        <v>56420</v>
      </c>
      <c r="J19" s="42">
        <f t="shared" si="1"/>
        <v>57782</v>
      </c>
      <c r="K19" s="42">
        <f t="shared" si="1"/>
        <v>55493</v>
      </c>
      <c r="L19" s="42">
        <f aca="true" t="shared" si="2" ref="L19:Q19">SUM(L2:L18)</f>
        <v>61882</v>
      </c>
      <c r="M19" s="42">
        <f t="shared" si="2"/>
        <v>57532</v>
      </c>
      <c r="N19" s="42">
        <f t="shared" si="2"/>
        <v>61623</v>
      </c>
      <c r="O19" s="42">
        <f t="shared" si="2"/>
        <v>54449</v>
      </c>
      <c r="P19" s="42">
        <f t="shared" si="2"/>
        <v>57493</v>
      </c>
      <c r="Q19" s="43">
        <f t="shared" si="2"/>
        <v>56292</v>
      </c>
    </row>
    <row r="20" spans="2:15" s="9" customFormat="1" ht="12.75">
      <c r="B20" s="44"/>
      <c r="C20" s="44"/>
      <c r="D20" s="44"/>
      <c r="E20" s="44"/>
      <c r="F20" s="44"/>
      <c r="G20" s="12"/>
      <c r="H20" s="12"/>
      <c r="I20" s="12"/>
      <c r="J20" s="12"/>
      <c r="K20" s="12"/>
      <c r="L20" s="12"/>
      <c r="M20" s="12"/>
      <c r="N20" s="12"/>
      <c r="O20" s="12"/>
    </row>
    <row r="21" spans="2:15" s="9" customFormat="1" ht="13.5" thickBot="1">
      <c r="B21" s="44"/>
      <c r="C21" s="44"/>
      <c r="D21" s="44"/>
      <c r="E21" s="44"/>
      <c r="F21" s="44"/>
      <c r="G21" s="12"/>
      <c r="H21" s="12"/>
      <c r="I21" s="12"/>
      <c r="J21" s="12"/>
      <c r="K21" s="12"/>
      <c r="L21" s="12"/>
      <c r="M21" s="12"/>
      <c r="N21" s="12"/>
      <c r="O21" s="12"/>
    </row>
    <row r="22" spans="1:17" s="16" customFormat="1" ht="13.5" thickBot="1">
      <c r="A22" s="31" t="s">
        <v>25</v>
      </c>
      <c r="B22" s="32" t="s">
        <v>177</v>
      </c>
      <c r="C22" s="66" t="s">
        <v>176</v>
      </c>
      <c r="D22" s="112" t="s">
        <v>173</v>
      </c>
      <c r="E22" s="171">
        <v>43466</v>
      </c>
      <c r="F22" s="33">
        <v>43101</v>
      </c>
      <c r="G22" s="33">
        <v>42736</v>
      </c>
      <c r="H22" s="33">
        <f>H1</f>
        <v>42370</v>
      </c>
      <c r="I22" s="33">
        <f>I1</f>
        <v>42005</v>
      </c>
      <c r="J22" s="33">
        <v>41640</v>
      </c>
      <c r="K22" s="33">
        <v>41275</v>
      </c>
      <c r="L22" s="33">
        <v>40909</v>
      </c>
      <c r="M22" s="33">
        <v>40544</v>
      </c>
      <c r="N22" s="33">
        <v>40179</v>
      </c>
      <c r="O22" s="33">
        <v>39814</v>
      </c>
      <c r="P22" s="33">
        <v>39448</v>
      </c>
      <c r="Q22" s="34">
        <v>39083</v>
      </c>
    </row>
    <row r="23" spans="1:17" ht="12.75">
      <c r="A23" s="27" t="s">
        <v>116</v>
      </c>
      <c r="B23" s="35">
        <f aca="true" t="shared" si="3" ref="B23:B28">(E23-F23)/F23</f>
        <v>13.237704918032787</v>
      </c>
      <c r="C23" s="67">
        <f>E23-'[1]Switzerland'!E23</f>
        <v>-193</v>
      </c>
      <c r="D23" s="13">
        <f>F23-'[1]Switzerland'!F23</f>
        <v>-588</v>
      </c>
      <c r="E23" s="149">
        <f>5002+209</f>
        <v>5211</v>
      </c>
      <c r="F23" s="13">
        <f>292+74</f>
        <v>366</v>
      </c>
      <c r="G23" s="13">
        <v>2635</v>
      </c>
      <c r="H23" s="13">
        <v>3245</v>
      </c>
      <c r="I23" s="13">
        <v>4316</v>
      </c>
      <c r="J23" s="13">
        <v>3301</v>
      </c>
      <c r="K23" s="13">
        <v>2188</v>
      </c>
      <c r="L23" s="13">
        <v>4376</v>
      </c>
      <c r="M23" s="13">
        <v>2288</v>
      </c>
      <c r="N23" s="13">
        <v>4031</v>
      </c>
      <c r="O23" s="13">
        <v>899</v>
      </c>
      <c r="P23" s="13">
        <v>3999</v>
      </c>
      <c r="Q23" s="37">
        <v>2636</v>
      </c>
    </row>
    <row r="24" spans="1:17" ht="12.75">
      <c r="A24" s="27" t="s">
        <v>7</v>
      </c>
      <c r="B24" s="35">
        <f t="shared" si="3"/>
        <v>6.955555555555556</v>
      </c>
      <c r="C24" s="67">
        <f>E24-'[1]Switzerland'!E24</f>
        <v>-313</v>
      </c>
      <c r="D24" s="13">
        <f>F24-'[1]Switzerland'!F24</f>
        <v>-321</v>
      </c>
      <c r="E24" s="149">
        <f>1045+29</f>
        <v>1074</v>
      </c>
      <c r="F24" s="13">
        <f>119+16</f>
        <v>135</v>
      </c>
      <c r="G24" s="13">
        <v>1252</v>
      </c>
      <c r="H24" s="13">
        <v>851</v>
      </c>
      <c r="I24" s="13">
        <v>1236</v>
      </c>
      <c r="J24" s="13">
        <v>1025</v>
      </c>
      <c r="K24" s="13">
        <v>589</v>
      </c>
      <c r="L24" s="13">
        <v>2379</v>
      </c>
      <c r="M24" s="13">
        <v>432</v>
      </c>
      <c r="N24" s="13">
        <v>2022</v>
      </c>
      <c r="O24" s="13">
        <v>415</v>
      </c>
      <c r="P24" s="13">
        <v>2486</v>
      </c>
      <c r="Q24" s="37">
        <v>992</v>
      </c>
    </row>
    <row r="25" spans="1:17" ht="12.75">
      <c r="A25" s="27" t="s">
        <v>117</v>
      </c>
      <c r="B25" s="35">
        <f t="shared" si="3"/>
        <v>6.027322404371585</v>
      </c>
      <c r="C25" s="67">
        <f>E25-'[1]Switzerland'!E25</f>
        <v>-113</v>
      </c>
      <c r="D25" s="13">
        <f>F25-'[1]Switzerland'!F25</f>
        <v>-378</v>
      </c>
      <c r="E25" s="149">
        <f>1052+234</f>
        <v>1286</v>
      </c>
      <c r="F25" s="13">
        <v>183</v>
      </c>
      <c r="G25" s="13">
        <v>1465</v>
      </c>
      <c r="H25" s="13">
        <v>1498</v>
      </c>
      <c r="I25" s="13">
        <v>1361</v>
      </c>
      <c r="J25" s="13">
        <v>1539</v>
      </c>
      <c r="K25" s="13">
        <v>1150</v>
      </c>
      <c r="L25" s="13">
        <v>2376</v>
      </c>
      <c r="M25" s="13">
        <v>601</v>
      </c>
      <c r="N25" s="13">
        <v>2783</v>
      </c>
      <c r="O25" s="13">
        <v>306</v>
      </c>
      <c r="P25" s="13">
        <v>2853</v>
      </c>
      <c r="Q25" s="37">
        <v>988</v>
      </c>
    </row>
    <row r="26" spans="1:17" ht="12.75">
      <c r="A26" s="57" t="s">
        <v>164</v>
      </c>
      <c r="B26" s="35"/>
      <c r="C26" s="67">
        <f>E26-'[1]Switzerland'!E26</f>
        <v>-265</v>
      </c>
      <c r="D26" s="13">
        <f>F26-'[1]Switzerland'!F26</f>
        <v>0</v>
      </c>
      <c r="E26" s="149">
        <v>127</v>
      </c>
      <c r="F26" s="13">
        <v>0</v>
      </c>
      <c r="G26" s="13">
        <v>0</v>
      </c>
      <c r="H26" s="13">
        <v>28</v>
      </c>
      <c r="I26" s="13"/>
      <c r="J26" s="13"/>
      <c r="K26" s="13"/>
      <c r="L26" s="13"/>
      <c r="M26" s="13"/>
      <c r="N26" s="13"/>
      <c r="O26" s="13"/>
      <c r="P26" s="13"/>
      <c r="Q26" s="37"/>
    </row>
    <row r="27" spans="1:17" ht="13.5" thickBot="1">
      <c r="A27" s="38" t="s">
        <v>59</v>
      </c>
      <c r="B27" s="36">
        <f t="shared" si="3"/>
        <v>4.797872340425532</v>
      </c>
      <c r="C27" s="68">
        <f>E27-'[1]Switzerland'!E27</f>
        <v>-64</v>
      </c>
      <c r="D27" s="15">
        <f>F27-'[1]Switzerland'!F27</f>
        <v>-63</v>
      </c>
      <c r="E27" s="170">
        <f>494+51</f>
        <v>545</v>
      </c>
      <c r="F27" s="15">
        <v>94</v>
      </c>
      <c r="G27" s="15">
        <v>221</v>
      </c>
      <c r="H27" s="15">
        <v>212</v>
      </c>
      <c r="I27" s="15">
        <v>388</v>
      </c>
      <c r="J27" s="15">
        <v>286</v>
      </c>
      <c r="K27" s="15">
        <v>136</v>
      </c>
      <c r="L27" s="15">
        <v>315</v>
      </c>
      <c r="M27" s="15">
        <v>145</v>
      </c>
      <c r="N27" s="15">
        <v>314</v>
      </c>
      <c r="O27" s="15">
        <v>82</v>
      </c>
      <c r="P27" s="15">
        <v>370</v>
      </c>
      <c r="Q27" s="39">
        <v>185</v>
      </c>
    </row>
    <row r="28" spans="1:17" ht="13.5" thickBot="1">
      <c r="A28" s="40" t="s">
        <v>23</v>
      </c>
      <c r="B28" s="41">
        <f t="shared" si="3"/>
        <v>9.595115681233933</v>
      </c>
      <c r="C28" s="69">
        <f>E28-'[1]Switzerland'!E28</f>
        <v>-948</v>
      </c>
      <c r="D28" s="42">
        <f>F28-'[1]Switzerland'!F28</f>
        <v>-1350</v>
      </c>
      <c r="E28" s="142">
        <f>SUM(E23:E27)</f>
        <v>8243</v>
      </c>
      <c r="F28" s="42">
        <f aca="true" t="shared" si="4" ref="F28:K28">SUM(F23:F27)</f>
        <v>778</v>
      </c>
      <c r="G28" s="42">
        <f t="shared" si="4"/>
        <v>5573</v>
      </c>
      <c r="H28" s="42">
        <f t="shared" si="4"/>
        <v>5834</v>
      </c>
      <c r="I28" s="42">
        <f t="shared" si="4"/>
        <v>7301</v>
      </c>
      <c r="J28" s="42">
        <f t="shared" si="4"/>
        <v>6151</v>
      </c>
      <c r="K28" s="42">
        <f t="shared" si="4"/>
        <v>4063</v>
      </c>
      <c r="L28" s="42">
        <f aca="true" t="shared" si="5" ref="L28:Q28">SUM(L23:L27)</f>
        <v>9446</v>
      </c>
      <c r="M28" s="42">
        <f t="shared" si="5"/>
        <v>3466</v>
      </c>
      <c r="N28" s="42">
        <f t="shared" si="5"/>
        <v>9150</v>
      </c>
      <c r="O28" s="42">
        <f t="shared" si="5"/>
        <v>1702</v>
      </c>
      <c r="P28" s="42">
        <f t="shared" si="5"/>
        <v>9708</v>
      </c>
      <c r="Q28" s="43">
        <f t="shared" si="5"/>
        <v>4801</v>
      </c>
    </row>
    <row r="29" ht="12.75">
      <c r="A29" t="s">
        <v>165</v>
      </c>
    </row>
    <row r="35" spans="16:18" ht="18">
      <c r="P35" s="5"/>
      <c r="Q35" s="1"/>
      <c r="R35" s="1"/>
    </row>
    <row r="36" spans="16:18" ht="18">
      <c r="P36" s="5"/>
      <c r="Q36" s="1"/>
      <c r="R36" s="1"/>
    </row>
    <row r="37" spans="16:18" ht="18">
      <c r="P37" s="5"/>
      <c r="Q37" s="1"/>
      <c r="R37" s="1"/>
    </row>
    <row r="38" spans="16:18" ht="18">
      <c r="P38" s="5"/>
      <c r="Q38" s="1"/>
      <c r="R38" s="1"/>
    </row>
    <row r="39" spans="16:18" ht="18">
      <c r="P39" s="5"/>
      <c r="Q39" s="1"/>
      <c r="R39" s="1"/>
    </row>
    <row r="40" spans="16:18" ht="18">
      <c r="P40" s="5"/>
      <c r="Q40" s="1"/>
      <c r="R40" s="1"/>
    </row>
    <row r="41" spans="16:18" ht="18">
      <c r="P41" s="5"/>
      <c r="Q41" s="1"/>
      <c r="R41" s="1"/>
    </row>
    <row r="42" spans="16:18" ht="18">
      <c r="P42" s="5"/>
      <c r="Q42" s="1"/>
      <c r="R42" s="1"/>
    </row>
    <row r="43" spans="16:18" ht="18">
      <c r="P43" s="5"/>
      <c r="Q43" s="1"/>
      <c r="R43" s="1"/>
    </row>
    <row r="44" spans="16:18" ht="18">
      <c r="P44" s="5"/>
      <c r="Q44" s="1"/>
      <c r="R44" s="1"/>
    </row>
    <row r="45" spans="16:18" ht="18">
      <c r="P45" s="6"/>
      <c r="Q45" s="1"/>
      <c r="R45" s="1"/>
    </row>
    <row r="46" spans="16:18" ht="18.75">
      <c r="P46" s="7"/>
      <c r="Q46" s="2"/>
      <c r="R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6" width="11.28125" style="9" customWidth="1"/>
    <col min="7" max="7" width="10.140625" style="0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33">
        <v>39814</v>
      </c>
      <c r="P1" s="33">
        <v>39448</v>
      </c>
      <c r="Q1" s="34">
        <v>39083</v>
      </c>
    </row>
    <row r="2" spans="1:17" ht="12.75">
      <c r="A2" s="27" t="s">
        <v>4</v>
      </c>
      <c r="B2" s="35">
        <f>(E2-F2)/F2</f>
        <v>1.2891260162601625</v>
      </c>
      <c r="C2" s="67">
        <f>E2-'[1]Netherlands'!E2</f>
        <v>-3265.191</v>
      </c>
      <c r="D2" s="13">
        <f>F2-'[1]Netherlands'!F2</f>
        <v>-2620</v>
      </c>
      <c r="E2" s="149">
        <v>4505</v>
      </c>
      <c r="F2" s="95">
        <v>1968</v>
      </c>
      <c r="G2" s="95">
        <v>4770</v>
      </c>
      <c r="H2" s="95">
        <v>7110</v>
      </c>
      <c r="I2" s="95">
        <v>7040</v>
      </c>
      <c r="J2" s="13">
        <v>6662</v>
      </c>
      <c r="K2" s="13">
        <v>6000</v>
      </c>
      <c r="L2" s="13">
        <v>7000</v>
      </c>
      <c r="M2" s="13">
        <v>6000</v>
      </c>
      <c r="N2" s="13">
        <v>7000</v>
      </c>
      <c r="O2" s="13">
        <v>11000</v>
      </c>
      <c r="P2" s="13">
        <v>8000</v>
      </c>
      <c r="Q2" s="37">
        <v>13000</v>
      </c>
    </row>
    <row r="3" spans="1:17" ht="12.75">
      <c r="A3" s="27" t="s">
        <v>2</v>
      </c>
      <c r="B3" s="35">
        <f aca="true" t="shared" si="0" ref="B3:B8">(E3-F3)/F3</f>
        <v>0.15883937823834196</v>
      </c>
      <c r="C3" s="67">
        <f>E3-'[1]Netherlands'!E3</f>
        <v>-10555.138000000006</v>
      </c>
      <c r="D3" s="13">
        <f>F3-'[1]Netherlands'!F3</f>
        <v>-8597</v>
      </c>
      <c r="E3" s="149">
        <v>55914</v>
      </c>
      <c r="F3" s="95">
        <v>48250</v>
      </c>
      <c r="G3" s="95">
        <v>69718</v>
      </c>
      <c r="H3" s="95">
        <v>75661</v>
      </c>
      <c r="I3" s="95">
        <v>76820</v>
      </c>
      <c r="J3" s="13">
        <v>69364</v>
      </c>
      <c r="K3" s="13">
        <v>59000</v>
      </c>
      <c r="L3" s="13">
        <v>84000</v>
      </c>
      <c r="M3" s="13">
        <v>65000</v>
      </c>
      <c r="N3" s="13">
        <v>102000</v>
      </c>
      <c r="O3" s="13">
        <v>82000</v>
      </c>
      <c r="P3" s="13">
        <v>77000</v>
      </c>
      <c r="Q3" s="37">
        <v>60000</v>
      </c>
    </row>
    <row r="4" spans="1:17" ht="12.75">
      <c r="A4" s="27" t="s">
        <v>3</v>
      </c>
      <c r="B4" s="35">
        <f t="shared" si="0"/>
        <v>-0.0691872427983539</v>
      </c>
      <c r="C4" s="67">
        <f>E4-'[1]Netherlands'!E4</f>
        <v>-968.3580000000002</v>
      </c>
      <c r="D4" s="13">
        <f>F4-'[1]Netherlands'!F4</f>
        <v>-903</v>
      </c>
      <c r="E4" s="149">
        <v>7238</v>
      </c>
      <c r="F4" s="95">
        <v>7776</v>
      </c>
      <c r="G4" s="95">
        <v>9239</v>
      </c>
      <c r="H4" s="95">
        <v>14312</v>
      </c>
      <c r="I4" s="95">
        <v>15927</v>
      </c>
      <c r="J4" s="13">
        <v>18874</v>
      </c>
      <c r="K4" s="13">
        <v>17000</v>
      </c>
      <c r="L4" s="13">
        <v>17000</v>
      </c>
      <c r="M4" s="13">
        <v>14000</v>
      </c>
      <c r="N4" s="13">
        <v>14000</v>
      </c>
      <c r="O4" s="13">
        <v>18000</v>
      </c>
      <c r="P4" s="13">
        <v>18000</v>
      </c>
      <c r="Q4" s="37">
        <v>19000</v>
      </c>
    </row>
    <row r="5" spans="1:17" ht="12.75">
      <c r="A5" s="29" t="s">
        <v>107</v>
      </c>
      <c r="B5" s="35">
        <f t="shared" si="0"/>
        <v>0.23570508373798435</v>
      </c>
      <c r="C5" s="67">
        <f>E5-'[1]Netherlands'!E5</f>
        <v>-5126.012000000002</v>
      </c>
      <c r="D5" s="13">
        <f>F5-'[1]Netherlands'!F5</f>
        <v>-5710</v>
      </c>
      <c r="E5" s="149">
        <v>49878</v>
      </c>
      <c r="F5" s="95">
        <v>40364</v>
      </c>
      <c r="G5" s="182">
        <v>66680</v>
      </c>
      <c r="H5" s="182">
        <v>63857</v>
      </c>
      <c r="I5" s="182">
        <v>69114</v>
      </c>
      <c r="J5" s="113">
        <v>71965</v>
      </c>
      <c r="K5" s="113">
        <v>65000</v>
      </c>
      <c r="L5" s="113">
        <v>105000</v>
      </c>
      <c r="M5" s="113">
        <v>66000</v>
      </c>
      <c r="N5" s="113">
        <v>98000</v>
      </c>
      <c r="O5" s="113">
        <v>94000</v>
      </c>
      <c r="P5" s="13">
        <v>99000</v>
      </c>
      <c r="Q5" s="37">
        <v>90000</v>
      </c>
    </row>
    <row r="6" spans="1:17" ht="12.75">
      <c r="A6" s="165" t="s">
        <v>135</v>
      </c>
      <c r="B6" s="35">
        <f t="shared" si="0"/>
        <v>0.6018044636732971</v>
      </c>
      <c r="C6" s="67">
        <f>E6-'[1]Netherlands'!E6</f>
        <v>-2922.758999999998</v>
      </c>
      <c r="D6" s="13">
        <f>F6-'[1]Netherlands'!F6</f>
        <v>-2370</v>
      </c>
      <c r="E6" s="149">
        <v>30359</v>
      </c>
      <c r="F6" s="95">
        <v>18953</v>
      </c>
      <c r="G6" s="182">
        <v>27745</v>
      </c>
      <c r="H6" s="182">
        <v>25513</v>
      </c>
      <c r="I6" s="182">
        <v>25238</v>
      </c>
      <c r="J6" s="113">
        <v>22567</v>
      </c>
      <c r="K6" s="113"/>
      <c r="L6" s="113"/>
      <c r="M6" s="113"/>
      <c r="N6" s="113"/>
      <c r="O6" s="113"/>
      <c r="P6" s="13"/>
      <c r="Q6" s="37"/>
    </row>
    <row r="7" spans="1:17" ht="13.5" thickBot="1">
      <c r="A7" s="92" t="s">
        <v>59</v>
      </c>
      <c r="B7" s="36">
        <f t="shared" si="0"/>
        <v>0.17624071903087143</v>
      </c>
      <c r="C7" s="68">
        <f>E7-'[1]Netherlands'!E7</f>
        <v>-965.7579999999998</v>
      </c>
      <c r="D7" s="15">
        <f>F7-'[1]Netherlands'!F7</f>
        <v>-477</v>
      </c>
      <c r="E7" s="170">
        <v>9030</v>
      </c>
      <c r="F7" s="96">
        <v>7677</v>
      </c>
      <c r="G7" s="181">
        <v>8527</v>
      </c>
      <c r="H7" s="181">
        <v>7562</v>
      </c>
      <c r="I7" s="181">
        <v>8623</v>
      </c>
      <c r="J7" s="114">
        <v>7183</v>
      </c>
      <c r="K7" s="114">
        <v>29000</v>
      </c>
      <c r="L7" s="114">
        <v>31000</v>
      </c>
      <c r="M7" s="114">
        <v>28000</v>
      </c>
      <c r="N7" s="114">
        <v>21000</v>
      </c>
      <c r="O7" s="114">
        <v>10000</v>
      </c>
      <c r="P7" s="15">
        <v>8000</v>
      </c>
      <c r="Q7" s="39">
        <v>13000</v>
      </c>
    </row>
    <row r="8" spans="1:17" ht="13.5" thickBot="1">
      <c r="A8" s="45" t="s">
        <v>23</v>
      </c>
      <c r="B8" s="41">
        <f t="shared" si="0"/>
        <v>0.2555125292028035</v>
      </c>
      <c r="C8" s="69">
        <f>E8-'[1]Netherlands'!E8</f>
        <v>-23803.216000000015</v>
      </c>
      <c r="D8" s="42">
        <f>F8-'[1]Netherlands'!F8</f>
        <v>-20677</v>
      </c>
      <c r="E8" s="142">
        <f>SUM(E2:E7)</f>
        <v>156924</v>
      </c>
      <c r="F8" s="42">
        <f aca="true" t="shared" si="1" ref="F8:K8">SUM(F2:F7)</f>
        <v>124988</v>
      </c>
      <c r="G8" s="42">
        <f t="shared" si="1"/>
        <v>186679</v>
      </c>
      <c r="H8" s="42">
        <f t="shared" si="1"/>
        <v>194015</v>
      </c>
      <c r="I8" s="42">
        <f t="shared" si="1"/>
        <v>202762</v>
      </c>
      <c r="J8" s="42">
        <f t="shared" si="1"/>
        <v>196615</v>
      </c>
      <c r="K8" s="42">
        <f t="shared" si="1"/>
        <v>176000</v>
      </c>
      <c r="L8" s="42">
        <f aca="true" t="shared" si="2" ref="L8:Q8">SUM(L2:L7)</f>
        <v>244000</v>
      </c>
      <c r="M8" s="42">
        <f t="shared" si="2"/>
        <v>179000</v>
      </c>
      <c r="N8" s="42">
        <f t="shared" si="2"/>
        <v>242000</v>
      </c>
      <c r="O8" s="42">
        <f t="shared" si="2"/>
        <v>215000</v>
      </c>
      <c r="P8" s="42">
        <f t="shared" si="2"/>
        <v>210000</v>
      </c>
      <c r="Q8" s="43">
        <f t="shared" si="2"/>
        <v>195000</v>
      </c>
    </row>
    <row r="9" spans="2:15" s="9" customFormat="1" ht="12.75">
      <c r="B9" s="44"/>
      <c r="C9" s="44"/>
      <c r="D9" s="44"/>
      <c r="E9" s="44"/>
      <c r="F9" s="44"/>
      <c r="G9" s="44"/>
      <c r="H9" s="12"/>
      <c r="I9" s="12"/>
      <c r="J9" s="12"/>
      <c r="K9" s="12"/>
      <c r="L9" s="12"/>
      <c r="M9" s="12"/>
      <c r="N9" s="12"/>
      <c r="O9" s="12"/>
    </row>
    <row r="10" spans="2:15" s="9" customFormat="1" ht="13.5" thickBot="1">
      <c r="B10" s="44"/>
      <c r="C10" s="44"/>
      <c r="D10" s="44"/>
      <c r="E10" s="44"/>
      <c r="F10" s="44"/>
      <c r="G10" s="44"/>
      <c r="H10" s="12"/>
      <c r="I10" s="12"/>
      <c r="J10" s="12"/>
      <c r="K10" s="12"/>
      <c r="L10" s="12"/>
      <c r="M10" s="12"/>
      <c r="N10" s="12"/>
      <c r="O10" s="12"/>
    </row>
    <row r="11" spans="1:17" s="16" customFormat="1" ht="13.5" thickBot="1">
      <c r="A11" s="31" t="s">
        <v>25</v>
      </c>
      <c r="B11" s="32" t="s">
        <v>177</v>
      </c>
      <c r="C11" s="66" t="s">
        <v>176</v>
      </c>
      <c r="D11" s="112" t="s">
        <v>173</v>
      </c>
      <c r="E11" s="171">
        <v>43466</v>
      </c>
      <c r="F11" s="33">
        <v>43101</v>
      </c>
      <c r="G11" s="33">
        <v>42736</v>
      </c>
      <c r="H11" s="33">
        <f>H1</f>
        <v>42370</v>
      </c>
      <c r="I11" s="33">
        <f>I1</f>
        <v>42005</v>
      </c>
      <c r="J11" s="33">
        <v>41640</v>
      </c>
      <c r="K11" s="33">
        <v>41275</v>
      </c>
      <c r="L11" s="33">
        <v>40909</v>
      </c>
      <c r="M11" s="33">
        <v>40544</v>
      </c>
      <c r="N11" s="33">
        <v>40179</v>
      </c>
      <c r="O11" s="33">
        <v>39814</v>
      </c>
      <c r="P11" s="33">
        <v>39448</v>
      </c>
      <c r="Q11" s="34">
        <v>39083</v>
      </c>
    </row>
    <row r="12" spans="1:17" ht="12.75">
      <c r="A12" s="27" t="s">
        <v>7</v>
      </c>
      <c r="B12" s="35">
        <f>(E12-F12)/F12</f>
        <v>0.14001586415582126</v>
      </c>
      <c r="C12" s="67">
        <f>E12-'[1]Netherlands'!E12</f>
        <v>-20122.405</v>
      </c>
      <c r="D12" s="13">
        <f>F12-'[1]Netherlands'!F12</f>
        <v>-16302</v>
      </c>
      <c r="E12" s="149">
        <v>194025</v>
      </c>
      <c r="F12" s="95">
        <v>170195</v>
      </c>
      <c r="G12" s="13">
        <v>181570</v>
      </c>
      <c r="H12" s="13">
        <v>176917</v>
      </c>
      <c r="I12" s="13">
        <v>169361</v>
      </c>
      <c r="J12" s="13">
        <v>171113</v>
      </c>
      <c r="K12" s="13">
        <v>96000</v>
      </c>
      <c r="L12" s="13">
        <v>150000</v>
      </c>
      <c r="M12" s="13">
        <v>118000</v>
      </c>
      <c r="N12" s="13">
        <v>140000</v>
      </c>
      <c r="O12" s="13">
        <v>64000</v>
      </c>
      <c r="P12" s="13">
        <v>96000</v>
      </c>
      <c r="Q12" s="37">
        <v>91000</v>
      </c>
    </row>
    <row r="13" spans="1:17" ht="12.75">
      <c r="A13" s="27" t="s">
        <v>100</v>
      </c>
      <c r="B13" s="35">
        <f>(E13-F13)/F13</f>
        <v>1.5112294512618663</v>
      </c>
      <c r="C13" s="67">
        <f>E13-'[1]Netherlands'!E13</f>
        <v>-3404.1309999999994</v>
      </c>
      <c r="D13" s="13">
        <f>F13-'[1]Netherlands'!F13</f>
        <v>-2917</v>
      </c>
      <c r="E13" s="149">
        <v>10846</v>
      </c>
      <c r="F13" s="95">
        <v>4319</v>
      </c>
      <c r="G13" s="13">
        <v>10829</v>
      </c>
      <c r="H13" s="13">
        <v>9477</v>
      </c>
      <c r="I13" s="13">
        <v>9226</v>
      </c>
      <c r="J13" s="13">
        <v>9816</v>
      </c>
      <c r="K13" s="13">
        <v>3000</v>
      </c>
      <c r="L13" s="13">
        <v>9000</v>
      </c>
      <c r="M13" s="13">
        <v>8000</v>
      </c>
      <c r="N13" s="13">
        <v>9000</v>
      </c>
      <c r="O13" s="13">
        <v>6000</v>
      </c>
      <c r="P13" s="13">
        <v>9000</v>
      </c>
      <c r="Q13" s="37">
        <v>7000</v>
      </c>
    </row>
    <row r="14" spans="1:17" ht="13.5" thickBot="1">
      <c r="A14" s="38" t="s">
        <v>6</v>
      </c>
      <c r="B14" s="36">
        <f>(E14-F14)/F14</f>
        <v>0.8061875398681693</v>
      </c>
      <c r="C14" s="68">
        <f>E14-'[1]Netherlands'!E14</f>
        <v>-9230.277999999998</v>
      </c>
      <c r="D14" s="15">
        <f>F14-'[1]Netherlands'!F14</f>
        <v>-3013</v>
      </c>
      <c r="E14" s="170">
        <v>16989</v>
      </c>
      <c r="F14" s="96">
        <v>9406</v>
      </c>
      <c r="G14" s="15">
        <v>15857</v>
      </c>
      <c r="H14" s="15">
        <v>15475</v>
      </c>
      <c r="I14" s="15">
        <v>15374</v>
      </c>
      <c r="J14" s="15">
        <v>13316</v>
      </c>
      <c r="K14" s="15">
        <v>3000</v>
      </c>
      <c r="L14" s="15">
        <v>4000</v>
      </c>
      <c r="M14" s="15">
        <v>4000</v>
      </c>
      <c r="N14" s="15">
        <v>5000</v>
      </c>
      <c r="O14" s="15">
        <v>2000</v>
      </c>
      <c r="P14" s="15">
        <v>2000</v>
      </c>
      <c r="Q14" s="39">
        <v>2000</v>
      </c>
    </row>
    <row r="15" spans="1:17" ht="13.5" thickBot="1">
      <c r="A15" s="40" t="s">
        <v>23</v>
      </c>
      <c r="B15" s="41">
        <f>(E15-F15)/F15</f>
        <v>0.20628534145280555</v>
      </c>
      <c r="C15" s="69">
        <f>E15-'[1]Netherlands'!E15</f>
        <v>-32756.813999999984</v>
      </c>
      <c r="D15" s="42">
        <f>F15-'[1]Netherlands'!F15</f>
        <v>-22232</v>
      </c>
      <c r="E15" s="142">
        <f>SUM(E12:E14)</f>
        <v>221860</v>
      </c>
      <c r="F15" s="42">
        <f aca="true" t="shared" si="3" ref="F15:K15">SUM(F12:F14)</f>
        <v>183920</v>
      </c>
      <c r="G15" s="42">
        <f t="shared" si="3"/>
        <v>208256</v>
      </c>
      <c r="H15" s="42">
        <f t="shared" si="3"/>
        <v>201869</v>
      </c>
      <c r="I15" s="42">
        <f t="shared" si="3"/>
        <v>193961</v>
      </c>
      <c r="J15" s="42">
        <f t="shared" si="3"/>
        <v>194245</v>
      </c>
      <c r="K15" s="42">
        <f t="shared" si="3"/>
        <v>102000</v>
      </c>
      <c r="L15" s="42">
        <f aca="true" t="shared" si="4" ref="L15:Q15">SUM(L12:L14)</f>
        <v>163000</v>
      </c>
      <c r="M15" s="42">
        <f t="shared" si="4"/>
        <v>130000</v>
      </c>
      <c r="N15" s="42">
        <f t="shared" si="4"/>
        <v>154000</v>
      </c>
      <c r="O15" s="42">
        <f t="shared" si="4"/>
        <v>72000</v>
      </c>
      <c r="P15" s="42">
        <f t="shared" si="4"/>
        <v>107000</v>
      </c>
      <c r="Q15" s="43">
        <f t="shared" si="4"/>
        <v>100000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6" width="11.57421875" style="9" customWidth="1"/>
    <col min="7" max="7" width="10.140625" style="0" bestFit="1" customWidth="1"/>
    <col min="8" max="15" width="10.140625" style="9" bestFit="1" customWidth="1"/>
    <col min="16" max="17" width="10.140625" style="0" bestFit="1" customWidth="1"/>
  </cols>
  <sheetData>
    <row r="1" spans="1:17" ht="13.5" thickBot="1">
      <c r="A1" s="56" t="s">
        <v>91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33">
        <v>39814</v>
      </c>
      <c r="P1" s="55">
        <v>39448</v>
      </c>
      <c r="Q1" s="34">
        <v>39083</v>
      </c>
    </row>
    <row r="2" spans="1:17" ht="12.75">
      <c r="A2" s="57" t="s">
        <v>11</v>
      </c>
      <c r="B2" s="64">
        <f>(E2-F2)/F2</f>
        <v>0.8856469735411381</v>
      </c>
      <c r="C2" s="106"/>
      <c r="D2" s="13">
        <f>F2-'[1]UK'!F2</f>
        <v>1846</v>
      </c>
      <c r="E2" s="60">
        <v>20810</v>
      </c>
      <c r="F2" s="95">
        <v>11036</v>
      </c>
      <c r="G2" s="95">
        <v>21040</v>
      </c>
      <c r="H2" s="95">
        <v>20700</v>
      </c>
      <c r="I2" s="95">
        <v>21000</v>
      </c>
      <c r="J2" s="95">
        <v>21100</v>
      </c>
      <c r="K2" s="95">
        <v>8500</v>
      </c>
      <c r="L2" s="95">
        <v>16000</v>
      </c>
      <c r="M2" s="95">
        <v>11500</v>
      </c>
      <c r="N2" s="95">
        <v>17500</v>
      </c>
      <c r="O2" s="95">
        <v>8000</v>
      </c>
      <c r="P2" s="54">
        <v>8000</v>
      </c>
      <c r="Q2" s="86">
        <v>5000</v>
      </c>
    </row>
    <row r="3" spans="1:17" ht="12.75">
      <c r="A3" s="57" t="s">
        <v>36</v>
      </c>
      <c r="B3" s="64">
        <f aca="true" t="shared" si="0" ref="B3:B12">(E3-F3)/F3</f>
        <v>0.04544096409541357</v>
      </c>
      <c r="C3" s="106"/>
      <c r="D3" s="95">
        <f>F3-'[1]UK'!F3</f>
        <v>-9338</v>
      </c>
      <c r="E3" s="60">
        <v>41987</v>
      </c>
      <c r="F3" s="95">
        <v>40162</v>
      </c>
      <c r="G3" s="95">
        <v>41420</v>
      </c>
      <c r="H3" s="95">
        <v>37000</v>
      </c>
      <c r="I3" s="95">
        <v>53000</v>
      </c>
      <c r="J3" s="95">
        <v>49000</v>
      </c>
      <c r="K3" s="95">
        <v>24000</v>
      </c>
      <c r="L3" s="95">
        <v>53000</v>
      </c>
      <c r="M3" s="95">
        <v>62000</v>
      </c>
      <c r="N3" s="95">
        <v>54000</v>
      </c>
      <c r="O3" s="95">
        <v>51000</v>
      </c>
      <c r="P3" s="54">
        <v>47000</v>
      </c>
      <c r="Q3" s="86">
        <v>51000</v>
      </c>
    </row>
    <row r="4" spans="1:17" ht="12.75">
      <c r="A4" s="57" t="s">
        <v>29</v>
      </c>
      <c r="B4" s="64"/>
      <c r="C4" s="106"/>
      <c r="D4" s="95">
        <f>F4-'[1]UK'!F4</f>
        <v>0</v>
      </c>
      <c r="E4" s="60">
        <v>2285</v>
      </c>
      <c r="F4" s="95"/>
      <c r="G4" s="95"/>
      <c r="H4" s="95">
        <v>1600</v>
      </c>
      <c r="I4" s="95">
        <v>0</v>
      </c>
      <c r="J4" s="95">
        <v>1700</v>
      </c>
      <c r="K4" s="95"/>
      <c r="L4" s="95"/>
      <c r="M4" s="95">
        <v>1500</v>
      </c>
      <c r="N4" s="95">
        <v>1200</v>
      </c>
      <c r="O4" s="95">
        <v>1000</v>
      </c>
      <c r="P4" s="54"/>
      <c r="Q4" s="86"/>
    </row>
    <row r="5" spans="1:17" ht="12.75">
      <c r="A5" s="57" t="s">
        <v>5</v>
      </c>
      <c r="B5" s="64">
        <f t="shared" si="0"/>
        <v>0.5188058298072402</v>
      </c>
      <c r="C5" s="106"/>
      <c r="D5" s="95">
        <f>F5-'[1]UK'!F5</f>
        <v>-6431</v>
      </c>
      <c r="E5" s="60">
        <v>6461</v>
      </c>
      <c r="F5" s="95">
        <v>4254</v>
      </c>
      <c r="G5" s="95">
        <v>8533</v>
      </c>
      <c r="H5" s="95">
        <v>15200</v>
      </c>
      <c r="I5" s="95">
        <v>8500</v>
      </c>
      <c r="J5" s="95">
        <v>20500</v>
      </c>
      <c r="K5" s="95">
        <v>10000</v>
      </c>
      <c r="L5" s="95">
        <v>14000</v>
      </c>
      <c r="M5" s="95">
        <v>19000</v>
      </c>
      <c r="N5" s="95">
        <v>19500</v>
      </c>
      <c r="O5" s="95">
        <v>20000</v>
      </c>
      <c r="P5" s="54">
        <v>21000</v>
      </c>
      <c r="Q5" s="86">
        <v>16000</v>
      </c>
    </row>
    <row r="6" spans="1:17" ht="12.75">
      <c r="A6" s="57" t="s">
        <v>9</v>
      </c>
      <c r="B6" s="64">
        <f t="shared" si="0"/>
        <v>0.31473748081521935</v>
      </c>
      <c r="C6" s="106"/>
      <c r="D6" s="95">
        <f>F6-'[1]UK'!F6</f>
        <v>4409</v>
      </c>
      <c r="E6" s="60">
        <v>36835</v>
      </c>
      <c r="F6" s="95">
        <v>28017</v>
      </c>
      <c r="G6" s="95">
        <v>25960</v>
      </c>
      <c r="H6" s="95">
        <v>35900</v>
      </c>
      <c r="I6" s="95">
        <v>22000</v>
      </c>
      <c r="J6" s="95">
        <v>24100</v>
      </c>
      <c r="K6" s="95">
        <v>16500</v>
      </c>
      <c r="L6" s="95">
        <v>16000</v>
      </c>
      <c r="M6" s="95">
        <v>16000</v>
      </c>
      <c r="N6" s="95">
        <v>12000</v>
      </c>
      <c r="O6" s="95">
        <v>10000</v>
      </c>
      <c r="P6" s="54">
        <v>8000</v>
      </c>
      <c r="Q6" s="86">
        <v>3000</v>
      </c>
    </row>
    <row r="7" spans="1:18" ht="12.75">
      <c r="A7" s="57" t="s">
        <v>27</v>
      </c>
      <c r="B7" s="64"/>
      <c r="C7" s="106"/>
      <c r="D7" s="95">
        <f>F7-'[1]UK'!F7</f>
        <v>-1080</v>
      </c>
      <c r="E7" s="60">
        <v>356</v>
      </c>
      <c r="F7" s="95"/>
      <c r="G7" s="95"/>
      <c r="H7" s="95">
        <v>0</v>
      </c>
      <c r="I7" s="95">
        <v>0</v>
      </c>
      <c r="J7" s="95">
        <v>2000</v>
      </c>
      <c r="K7" s="95">
        <v>1000</v>
      </c>
      <c r="L7" s="95">
        <v>1000</v>
      </c>
      <c r="M7" s="95">
        <v>1000</v>
      </c>
      <c r="N7" s="95">
        <v>500</v>
      </c>
      <c r="O7" s="95">
        <v>2000</v>
      </c>
      <c r="P7" s="54">
        <v>6000</v>
      </c>
      <c r="Q7" s="86">
        <v>2000</v>
      </c>
      <c r="R7" s="1"/>
    </row>
    <row r="8" spans="1:17" ht="12.75">
      <c r="A8" s="57" t="s">
        <v>26</v>
      </c>
      <c r="B8" s="64">
        <f t="shared" si="0"/>
        <v>-1</v>
      </c>
      <c r="C8" s="106"/>
      <c r="D8" s="95">
        <f>F8-'[1]UK'!F8</f>
        <v>429</v>
      </c>
      <c r="E8" s="60">
        <v>0</v>
      </c>
      <c r="F8" s="95">
        <v>429</v>
      </c>
      <c r="G8" s="95"/>
      <c r="H8" s="95">
        <v>5000</v>
      </c>
      <c r="I8" s="95">
        <v>5000</v>
      </c>
      <c r="J8" s="95">
        <v>7100</v>
      </c>
      <c r="K8" s="95">
        <v>4000</v>
      </c>
      <c r="L8" s="95">
        <v>4000</v>
      </c>
      <c r="M8" s="95">
        <v>4000</v>
      </c>
      <c r="N8" s="95">
        <v>4000</v>
      </c>
      <c r="O8" s="95">
        <v>3000</v>
      </c>
      <c r="P8" s="54"/>
      <c r="Q8" s="86"/>
    </row>
    <row r="9" spans="1:17" ht="12.75">
      <c r="A9" s="57" t="s">
        <v>35</v>
      </c>
      <c r="B9" s="64"/>
      <c r="C9" s="106"/>
      <c r="D9" s="95">
        <f>F9-'[1]UK'!F9</f>
        <v>0</v>
      </c>
      <c r="E9" s="60">
        <v>124</v>
      </c>
      <c r="F9" s="95"/>
      <c r="G9" s="95"/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f>SUM(R9:U9)</f>
        <v>0</v>
      </c>
      <c r="P9" s="54"/>
      <c r="Q9" s="86"/>
    </row>
    <row r="10" spans="1:17" ht="12.75">
      <c r="A10" s="57" t="s">
        <v>135</v>
      </c>
      <c r="B10" s="64">
        <f t="shared" si="0"/>
        <v>-0.07924947537341069</v>
      </c>
      <c r="C10" s="106"/>
      <c r="D10" s="95">
        <f>F10-'[1]UK'!F10</f>
        <v>8101</v>
      </c>
      <c r="E10" s="60">
        <v>7459</v>
      </c>
      <c r="F10" s="95">
        <v>8101</v>
      </c>
      <c r="G10" s="95"/>
      <c r="H10" s="95">
        <v>7500</v>
      </c>
      <c r="I10" s="95">
        <v>8000</v>
      </c>
      <c r="J10" s="95">
        <v>7900</v>
      </c>
      <c r="K10" s="95">
        <v>5000</v>
      </c>
      <c r="L10" s="95">
        <v>6000</v>
      </c>
      <c r="M10" s="95">
        <v>5500</v>
      </c>
      <c r="N10" s="95">
        <v>6800</v>
      </c>
      <c r="O10" s="95"/>
      <c r="P10" s="54"/>
      <c r="Q10" s="86"/>
    </row>
    <row r="11" spans="1:17" ht="13.5" thickBot="1">
      <c r="A11" s="58" t="s">
        <v>6</v>
      </c>
      <c r="B11" s="65">
        <f t="shared" si="0"/>
        <v>4.123543123543124</v>
      </c>
      <c r="C11" s="106"/>
      <c r="D11" s="95">
        <f>F11-'[1]UK'!F11</f>
        <v>429</v>
      </c>
      <c r="E11" s="60">
        <v>2198</v>
      </c>
      <c r="F11" s="95">
        <v>429</v>
      </c>
      <c r="G11" s="96">
        <v>10410</v>
      </c>
      <c r="H11" s="96">
        <v>2600</v>
      </c>
      <c r="I11" s="96">
        <v>3000</v>
      </c>
      <c r="J11" s="96">
        <v>1500</v>
      </c>
      <c r="K11" s="96">
        <v>1000</v>
      </c>
      <c r="L11" s="96">
        <v>1000</v>
      </c>
      <c r="M11" s="96">
        <v>3000</v>
      </c>
      <c r="N11" s="96">
        <v>3300</v>
      </c>
      <c r="O11" s="96">
        <v>5000</v>
      </c>
      <c r="P11" s="53">
        <v>5500</v>
      </c>
      <c r="Q11" s="87">
        <v>3000</v>
      </c>
    </row>
    <row r="12" spans="1:17" ht="13.5" thickBot="1">
      <c r="A12" s="59" t="s">
        <v>92</v>
      </c>
      <c r="B12" s="110">
        <f t="shared" si="0"/>
        <v>0.2822413121564894</v>
      </c>
      <c r="C12" s="93"/>
      <c r="D12" s="130">
        <f>F12-'[1]UK'!F12</f>
        <v>-1635</v>
      </c>
      <c r="E12" s="62">
        <f>SUM(E2:E11)</f>
        <v>118515</v>
      </c>
      <c r="F12" s="130">
        <f aca="true" t="shared" si="1" ref="F12:K12">SUM(F2:F11)</f>
        <v>92428</v>
      </c>
      <c r="G12" s="130">
        <f t="shared" si="1"/>
        <v>107363</v>
      </c>
      <c r="H12" s="130">
        <f t="shared" si="1"/>
        <v>125500</v>
      </c>
      <c r="I12" s="130">
        <f t="shared" si="1"/>
        <v>120500</v>
      </c>
      <c r="J12" s="130">
        <f t="shared" si="1"/>
        <v>134900</v>
      </c>
      <c r="K12" s="130">
        <f t="shared" si="1"/>
        <v>70000</v>
      </c>
      <c r="L12" s="130">
        <f aca="true" t="shared" si="2" ref="L12:Q12">SUM(L2:L11)</f>
        <v>111000</v>
      </c>
      <c r="M12" s="130">
        <f t="shared" si="2"/>
        <v>123500</v>
      </c>
      <c r="N12" s="130">
        <f t="shared" si="2"/>
        <v>118800</v>
      </c>
      <c r="O12" s="130">
        <f t="shared" si="2"/>
        <v>100000</v>
      </c>
      <c r="P12" s="63">
        <f t="shared" si="2"/>
        <v>95500</v>
      </c>
      <c r="Q12" s="43">
        <f t="shared" si="2"/>
        <v>80000</v>
      </c>
    </row>
    <row r="13" ht="12.75">
      <c r="G13" s="9"/>
    </row>
    <row r="14" spans="2:17" ht="13.5" thickBot="1">
      <c r="B14" s="3"/>
      <c r="C14" s="3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3"/>
      <c r="Q14" s="3"/>
    </row>
    <row r="15" spans="1:17" s="73" customFormat="1" ht="13.5" thickBot="1">
      <c r="A15" s="71" t="s">
        <v>91</v>
      </c>
      <c r="B15" s="32" t="s">
        <v>177</v>
      </c>
      <c r="C15" s="66" t="s">
        <v>176</v>
      </c>
      <c r="D15" s="112" t="s">
        <v>173</v>
      </c>
      <c r="E15" s="171">
        <v>43466</v>
      </c>
      <c r="F15" s="33">
        <v>43101</v>
      </c>
      <c r="G15" s="33">
        <v>42736</v>
      </c>
      <c r="H15" s="119">
        <v>42370</v>
      </c>
      <c r="I15" s="119">
        <f>I1</f>
        <v>42005</v>
      </c>
      <c r="J15" s="119">
        <v>41640</v>
      </c>
      <c r="K15" s="119">
        <v>41275</v>
      </c>
      <c r="L15" s="119">
        <v>40909</v>
      </c>
      <c r="M15" s="119">
        <v>40544</v>
      </c>
      <c r="N15" s="119">
        <v>40179</v>
      </c>
      <c r="O15" s="119">
        <v>39814</v>
      </c>
      <c r="P15" s="72">
        <v>39448</v>
      </c>
      <c r="Q15" s="88">
        <v>39083</v>
      </c>
    </row>
    <row r="16" spans="1:17" s="70" customFormat="1" ht="12.75">
      <c r="A16" s="74" t="s">
        <v>7</v>
      </c>
      <c r="B16" s="75">
        <f>(E16-F16)/F16</f>
        <v>-0.04019352437662821</v>
      </c>
      <c r="C16" s="104"/>
      <c r="D16" s="100">
        <f>F16-'[1]UK'!F16</f>
        <v>-1585</v>
      </c>
      <c r="E16" s="76">
        <v>7737</v>
      </c>
      <c r="F16" s="100">
        <v>8061</v>
      </c>
      <c r="G16" s="100">
        <v>9000</v>
      </c>
      <c r="H16" s="100">
        <v>11500</v>
      </c>
      <c r="I16" s="100">
        <v>9000</v>
      </c>
      <c r="J16" s="100">
        <v>12500</v>
      </c>
      <c r="K16" s="100">
        <v>9000</v>
      </c>
      <c r="L16" s="100">
        <v>10000</v>
      </c>
      <c r="M16" s="100">
        <v>11000</v>
      </c>
      <c r="N16" s="100">
        <v>14000</v>
      </c>
      <c r="O16" s="100">
        <v>9000</v>
      </c>
      <c r="P16" s="77">
        <v>10000</v>
      </c>
      <c r="Q16" s="89">
        <v>8000</v>
      </c>
    </row>
    <row r="17" spans="1:17" s="70" customFormat="1" ht="12.75">
      <c r="A17" s="74" t="s">
        <v>93</v>
      </c>
      <c r="B17" s="75">
        <f>(E17-F17)/F17</f>
        <v>12.071428571428571</v>
      </c>
      <c r="C17" s="104"/>
      <c r="D17" s="100">
        <f>F17-'[1]UK'!F17</f>
        <v>-414</v>
      </c>
      <c r="E17" s="76">
        <v>183</v>
      </c>
      <c r="F17" s="100">
        <v>14</v>
      </c>
      <c r="G17" s="100"/>
      <c r="H17" s="100">
        <v>500</v>
      </c>
      <c r="I17" s="100">
        <v>0</v>
      </c>
      <c r="J17" s="100">
        <v>500</v>
      </c>
      <c r="K17" s="100">
        <v>0</v>
      </c>
      <c r="L17" s="100">
        <v>1000</v>
      </c>
      <c r="M17" s="100">
        <v>0</v>
      </c>
      <c r="N17" s="100">
        <v>500</v>
      </c>
      <c r="O17" s="100">
        <v>500</v>
      </c>
      <c r="P17" s="77">
        <v>0</v>
      </c>
      <c r="Q17" s="89">
        <f>B48</f>
        <v>0</v>
      </c>
    </row>
    <row r="18" spans="1:17" s="70" customFormat="1" ht="13.5" thickBot="1">
      <c r="A18" s="78" t="s">
        <v>6</v>
      </c>
      <c r="B18" s="79"/>
      <c r="C18" s="104"/>
      <c r="D18" s="100">
        <f>F18-'[1]UK'!F18</f>
        <v>0</v>
      </c>
      <c r="E18" s="76">
        <v>224</v>
      </c>
      <c r="F18" s="100"/>
      <c r="G18" s="101">
        <v>430</v>
      </c>
      <c r="H18" s="101">
        <v>100</v>
      </c>
      <c r="I18" s="101">
        <v>0</v>
      </c>
      <c r="J18" s="101">
        <v>500</v>
      </c>
      <c r="K18" s="101">
        <v>0</v>
      </c>
      <c r="L18" s="101">
        <v>0</v>
      </c>
      <c r="M18" s="101">
        <v>0</v>
      </c>
      <c r="N18" s="101">
        <v>400</v>
      </c>
      <c r="O18" s="101">
        <f>SUM(R18:S18)</f>
        <v>0</v>
      </c>
      <c r="P18" s="81">
        <v>500</v>
      </c>
      <c r="Q18" s="90">
        <f>B55</f>
        <v>0</v>
      </c>
    </row>
    <row r="19" spans="1:17" s="70" customFormat="1" ht="13.5" thickBot="1">
      <c r="A19" s="82" t="s">
        <v>92</v>
      </c>
      <c r="B19" s="83">
        <f>(E19-F19)/F19</f>
        <v>0.008544891640866872</v>
      </c>
      <c r="C19" s="123"/>
      <c r="D19" s="120">
        <f>F19-'[1]UK'!F19</f>
        <v>-1999</v>
      </c>
      <c r="E19" s="84">
        <f>SUM(E16:E18)</f>
        <v>8144</v>
      </c>
      <c r="F19" s="120">
        <v>8075</v>
      </c>
      <c r="G19" s="120">
        <f>SUM(G16:G18)</f>
        <v>9430</v>
      </c>
      <c r="H19" s="120">
        <v>12100</v>
      </c>
      <c r="I19" s="120">
        <f>SUM(I16:I18)</f>
        <v>9000</v>
      </c>
      <c r="J19" s="120">
        <f>SUM(J16:J18)</f>
        <v>13500</v>
      </c>
      <c r="K19" s="120">
        <f>SUM(K16:K18)</f>
        <v>9000</v>
      </c>
      <c r="L19" s="120">
        <f aca="true" t="shared" si="3" ref="L19:Q19">SUM(L16:L18)</f>
        <v>11000</v>
      </c>
      <c r="M19" s="120">
        <f t="shared" si="3"/>
        <v>11000</v>
      </c>
      <c r="N19" s="120">
        <f t="shared" si="3"/>
        <v>14900</v>
      </c>
      <c r="O19" s="120">
        <f t="shared" si="3"/>
        <v>9500</v>
      </c>
      <c r="P19" s="85">
        <f t="shared" si="3"/>
        <v>10500</v>
      </c>
      <c r="Q19" s="91">
        <f t="shared" si="3"/>
        <v>8000</v>
      </c>
    </row>
    <row r="20" spans="1:15" s="70" customFormat="1" ht="12.75">
      <c r="A20" s="70" t="s">
        <v>170</v>
      </c>
      <c r="D20" s="132"/>
      <c r="E20" s="132"/>
      <c r="F20" s="132"/>
      <c r="H20" s="132"/>
      <c r="I20" s="132"/>
      <c r="J20" s="132"/>
      <c r="K20" s="132"/>
      <c r="L20" s="132"/>
      <c r="M20" s="132"/>
      <c r="N20" s="132"/>
      <c r="O20" s="132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4" width="11.57421875" style="9" bestFit="1" customWidth="1"/>
    <col min="5" max="6" width="11.57421875" style="9" customWidth="1"/>
    <col min="7" max="7" width="10.140625" style="0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33">
        <v>39814</v>
      </c>
      <c r="P1" s="33">
        <v>39448</v>
      </c>
      <c r="Q1" s="34">
        <v>39083</v>
      </c>
    </row>
    <row r="2" spans="1:17" ht="12.75">
      <c r="A2" s="27" t="s">
        <v>11</v>
      </c>
      <c r="B2" s="35">
        <f>(E2-F2)/F2</f>
        <v>-0.2493651930464223</v>
      </c>
      <c r="C2" s="67">
        <f>E2-'[1]US'!E2</f>
        <v>-1563</v>
      </c>
      <c r="D2" s="13">
        <f>F2-'[1]US'!F2</f>
        <v>-4555</v>
      </c>
      <c r="E2" s="149">
        <v>11529</v>
      </c>
      <c r="F2" s="13">
        <v>15359</v>
      </c>
      <c r="G2" s="13">
        <v>22563</v>
      </c>
      <c r="H2" s="13">
        <v>16503</v>
      </c>
      <c r="I2" s="13">
        <v>35788</v>
      </c>
      <c r="J2" s="13">
        <v>20181</v>
      </c>
      <c r="K2" s="13">
        <v>34701</v>
      </c>
      <c r="L2" s="13">
        <v>31023.59346642468</v>
      </c>
      <c r="M2" s="13">
        <v>47926.49727767695</v>
      </c>
      <c r="N2" s="13">
        <v>41695.09981851179</v>
      </c>
      <c r="O2" s="13">
        <v>50937.38656987296</v>
      </c>
      <c r="P2" s="13">
        <v>46592.55898366606</v>
      </c>
      <c r="Q2" s="37">
        <v>42042.781306715064</v>
      </c>
    </row>
    <row r="3" spans="1:17" ht="12.75">
      <c r="A3" s="27" t="s">
        <v>33</v>
      </c>
      <c r="B3" s="35">
        <f aca="true" t="shared" si="0" ref="B3:B26">(E3-F3)/F3</f>
        <v>0.28355196770938446</v>
      </c>
      <c r="C3" s="67">
        <f>E3-'[1]US'!E3</f>
        <v>-629</v>
      </c>
      <c r="D3" s="13">
        <f>F3-'[1]US'!F3</f>
        <v>-1067</v>
      </c>
      <c r="E3" s="149">
        <v>5088</v>
      </c>
      <c r="F3" s="13">
        <v>3964</v>
      </c>
      <c r="G3" s="13">
        <v>4002</v>
      </c>
      <c r="H3" s="13">
        <v>6784</v>
      </c>
      <c r="I3" s="13">
        <v>4650</v>
      </c>
      <c r="J3" s="13">
        <v>6327</v>
      </c>
      <c r="K3" s="13">
        <v>1620</v>
      </c>
      <c r="L3" s="13">
        <v>4478</v>
      </c>
      <c r="M3" s="13">
        <v>4630.671506352087</v>
      </c>
      <c r="N3" s="13">
        <v>4783.121597096188</v>
      </c>
      <c r="O3" s="13">
        <v>5697.822141560799</v>
      </c>
      <c r="P3" s="13">
        <v>5583.484573502722</v>
      </c>
      <c r="Q3" s="37">
        <v>4685.686932849365</v>
      </c>
    </row>
    <row r="4" spans="1:17" ht="12.75">
      <c r="A4" s="27" t="s">
        <v>49</v>
      </c>
      <c r="B4" s="35">
        <f t="shared" si="0"/>
        <v>0.3482971407037543</v>
      </c>
      <c r="C4" s="67">
        <f>E4-'[1]US'!E4</f>
        <v>-266</v>
      </c>
      <c r="D4" s="13">
        <f>F4-'[1]US'!F4</f>
        <v>-4840</v>
      </c>
      <c r="E4" s="149">
        <v>28623</v>
      </c>
      <c r="F4" s="13">
        <v>21229</v>
      </c>
      <c r="G4" s="13">
        <v>16655</v>
      </c>
      <c r="H4" s="13">
        <v>26564</v>
      </c>
      <c r="I4" s="13">
        <v>21781</v>
      </c>
      <c r="J4" s="13">
        <v>29823</v>
      </c>
      <c r="K4" s="13">
        <v>5888</v>
      </c>
      <c r="L4" s="13">
        <v>29213</v>
      </c>
      <c r="M4" s="13">
        <v>25916.515426497277</v>
      </c>
      <c r="N4" s="13">
        <v>32719.600725952812</v>
      </c>
      <c r="O4" s="13">
        <v>28355.716878402905</v>
      </c>
      <c r="P4" s="13">
        <v>34301.27041742287</v>
      </c>
      <c r="Q4" s="37">
        <v>36062.030852994554</v>
      </c>
    </row>
    <row r="5" spans="1:17" ht="12.75">
      <c r="A5" s="27" t="s">
        <v>12</v>
      </c>
      <c r="B5" s="35">
        <f t="shared" si="0"/>
        <v>-0.10244692635398842</v>
      </c>
      <c r="C5" s="67">
        <f>E5-'[1]US'!E5</f>
        <v>-32091</v>
      </c>
      <c r="D5" s="13">
        <f>F5-'[1]US'!F5</f>
        <v>-35863</v>
      </c>
      <c r="E5" s="149">
        <v>226064</v>
      </c>
      <c r="F5" s="13">
        <v>251867</v>
      </c>
      <c r="G5" s="13">
        <v>217794</v>
      </c>
      <c r="H5" s="13">
        <v>189686</v>
      </c>
      <c r="I5" s="13">
        <v>243406</v>
      </c>
      <c r="J5" s="13">
        <v>183912</v>
      </c>
      <c r="K5" s="13">
        <v>283691</v>
      </c>
      <c r="L5" s="13">
        <v>167505</v>
      </c>
      <c r="M5" s="13">
        <v>197842.1052631579</v>
      </c>
      <c r="N5" s="13">
        <v>167847.5499092559</v>
      </c>
      <c r="O5" s="13">
        <v>214459.16515426498</v>
      </c>
      <c r="P5" s="13">
        <v>144865.69872958257</v>
      </c>
      <c r="Q5" s="37">
        <v>154616.78765880218</v>
      </c>
    </row>
    <row r="6" spans="1:17" ht="12.75">
      <c r="A6" s="27" t="s">
        <v>9</v>
      </c>
      <c r="B6" s="35">
        <f t="shared" si="0"/>
        <v>-0.15891836375515636</v>
      </c>
      <c r="C6" s="67">
        <f>E6-'[1]US'!E6</f>
        <v>-52881</v>
      </c>
      <c r="D6" s="13">
        <f>F6-'[1]US'!F6</f>
        <v>-57359</v>
      </c>
      <c r="E6" s="149">
        <v>348863</v>
      </c>
      <c r="F6" s="13">
        <v>414779</v>
      </c>
      <c r="G6" s="13">
        <v>375999</v>
      </c>
      <c r="H6" s="13">
        <v>284415</v>
      </c>
      <c r="I6" s="13">
        <v>370435</v>
      </c>
      <c r="J6" s="13">
        <v>297868</v>
      </c>
      <c r="K6" s="13">
        <v>286892</v>
      </c>
      <c r="L6" s="13">
        <v>258346</v>
      </c>
      <c r="M6" s="13">
        <v>235611.61524500907</v>
      </c>
      <c r="N6" s="13">
        <v>207637.02359346644</v>
      </c>
      <c r="O6" s="13">
        <v>213087.11433756805</v>
      </c>
      <c r="P6" s="13">
        <v>181167.87658802178</v>
      </c>
      <c r="Q6" s="37">
        <v>143444.1397459165</v>
      </c>
    </row>
    <row r="7" spans="1:17" ht="12.75">
      <c r="A7" s="27" t="s">
        <v>3</v>
      </c>
      <c r="B7" s="35">
        <f t="shared" si="0"/>
        <v>-0.3710496789877205</v>
      </c>
      <c r="C7" s="67">
        <f>E7-'[1]US'!E7</f>
        <v>-11148</v>
      </c>
      <c r="D7" s="13">
        <f>F7-'[1]US'!F7</f>
        <v>-18294</v>
      </c>
      <c r="E7" s="149">
        <v>80722</v>
      </c>
      <c r="F7" s="13">
        <v>128344</v>
      </c>
      <c r="G7" s="13">
        <v>116986</v>
      </c>
      <c r="H7" s="13">
        <v>131431</v>
      </c>
      <c r="I7" s="13">
        <v>202339</v>
      </c>
      <c r="J7" s="13">
        <v>165542</v>
      </c>
      <c r="K7" s="13">
        <v>189495</v>
      </c>
      <c r="L7" s="13">
        <v>174174</v>
      </c>
      <c r="M7" s="13">
        <v>176480.03629764065</v>
      </c>
      <c r="N7" s="13">
        <v>175927.4047186933</v>
      </c>
      <c r="O7" s="13">
        <v>226979.12885662433</v>
      </c>
      <c r="P7" s="13">
        <v>178538.11252268602</v>
      </c>
      <c r="Q7" s="37">
        <v>151821.5771324864</v>
      </c>
    </row>
    <row r="8" spans="1:17" ht="12.75">
      <c r="A8" s="27" t="s">
        <v>17</v>
      </c>
      <c r="B8" s="35">
        <f t="shared" si="0"/>
        <v>-0.40540377863233573</v>
      </c>
      <c r="C8" s="67">
        <f>E8-'[1]US'!E8</f>
        <v>-21210</v>
      </c>
      <c r="D8" s="13">
        <f>F8-'[1]US'!F8</f>
        <v>-19113</v>
      </c>
      <c r="E8" s="149">
        <v>177814</v>
      </c>
      <c r="F8" s="13">
        <v>299050</v>
      </c>
      <c r="G8" s="13">
        <v>195555</v>
      </c>
      <c r="H8" s="13">
        <v>237822</v>
      </c>
      <c r="I8" s="13">
        <v>230543</v>
      </c>
      <c r="J8" s="13">
        <v>217966</v>
      </c>
      <c r="K8" s="13">
        <v>175032</v>
      </c>
      <c r="L8" s="13">
        <v>171868</v>
      </c>
      <c r="M8" s="13">
        <v>172630.67150635208</v>
      </c>
      <c r="N8" s="13">
        <v>152126.13430127042</v>
      </c>
      <c r="O8" s="13">
        <v>237574.41016333937</v>
      </c>
      <c r="P8" s="13">
        <v>168686.02540834845</v>
      </c>
      <c r="Q8" s="37">
        <v>187566.778584392</v>
      </c>
    </row>
    <row r="9" spans="1:19" ht="12.75">
      <c r="A9" s="27" t="s">
        <v>160</v>
      </c>
      <c r="B9" s="35">
        <f t="shared" si="0"/>
        <v>0.07325291652508778</v>
      </c>
      <c r="C9" s="67">
        <f>E9-'[1]US'!E9</f>
        <v>-24792</v>
      </c>
      <c r="D9" s="13">
        <f>F9-'[1]US'!F9</f>
        <v>-23859</v>
      </c>
      <c r="E9" s="149">
        <v>151612</v>
      </c>
      <c r="F9" s="13">
        <v>141264</v>
      </c>
      <c r="G9" s="13">
        <v>84495</v>
      </c>
      <c r="H9" s="13">
        <v>69879</v>
      </c>
      <c r="I9" s="13">
        <v>48327</v>
      </c>
      <c r="J9" s="13">
        <v>29347</v>
      </c>
      <c r="K9" s="13"/>
      <c r="L9" s="13"/>
      <c r="M9" s="13"/>
      <c r="N9" s="13"/>
      <c r="O9" s="13"/>
      <c r="P9" s="13"/>
      <c r="Q9" s="37"/>
      <c r="S9" s="1"/>
    </row>
    <row r="10" spans="1:17" ht="12.75">
      <c r="A10" s="28" t="s">
        <v>10</v>
      </c>
      <c r="B10" s="35">
        <f t="shared" si="0"/>
        <v>-0.39992503748125935</v>
      </c>
      <c r="C10" s="67">
        <f>E10-'[1]US'!E10</f>
        <v>-533</v>
      </c>
      <c r="D10" s="13">
        <f>F10-'[1]US'!F10</f>
        <v>-1296</v>
      </c>
      <c r="E10" s="149">
        <v>1601</v>
      </c>
      <c r="F10" s="13">
        <v>2668</v>
      </c>
      <c r="G10" s="113">
        <v>4878</v>
      </c>
      <c r="H10" s="113">
        <v>4459</v>
      </c>
      <c r="I10" s="113">
        <v>5393</v>
      </c>
      <c r="J10" s="113">
        <v>9585</v>
      </c>
      <c r="K10" s="113">
        <v>1124</v>
      </c>
      <c r="L10" s="113">
        <v>8594.37386569873</v>
      </c>
      <c r="M10" s="113">
        <v>2896.551724137931</v>
      </c>
      <c r="N10" s="113">
        <v>15149.7277676951</v>
      </c>
      <c r="O10" s="113">
        <v>7450.998185117967</v>
      </c>
      <c r="P10" s="13">
        <v>5164.246823956443</v>
      </c>
      <c r="Q10" s="37">
        <v>7900.058983666061</v>
      </c>
    </row>
    <row r="11" spans="1:17" ht="12.75">
      <c r="A11" s="28" t="s">
        <v>27</v>
      </c>
      <c r="B11" s="35">
        <f t="shared" si="0"/>
        <v>0.1185617103984451</v>
      </c>
      <c r="C11" s="67">
        <f>E11-'[1]US'!E11</f>
        <v>-1353</v>
      </c>
      <c r="D11" s="13">
        <f>F11-'[1]US'!F11</f>
        <v>-1849</v>
      </c>
      <c r="E11" s="149">
        <v>11510</v>
      </c>
      <c r="F11" s="13">
        <v>10290</v>
      </c>
      <c r="G11" s="113">
        <v>12863</v>
      </c>
      <c r="H11" s="113">
        <v>12444</v>
      </c>
      <c r="I11" s="113">
        <v>20600</v>
      </c>
      <c r="J11" s="113">
        <v>20886</v>
      </c>
      <c r="K11" s="113">
        <v>10919</v>
      </c>
      <c r="L11" s="113">
        <v>15740</v>
      </c>
      <c r="M11" s="113">
        <v>15645.19056261343</v>
      </c>
      <c r="N11" s="113">
        <v>10785.843920145191</v>
      </c>
      <c r="O11" s="113">
        <v>19113.43012704174</v>
      </c>
      <c r="P11" s="13">
        <v>10538.112522686026</v>
      </c>
      <c r="Q11" s="37">
        <v>16368.92831215971</v>
      </c>
    </row>
    <row r="12" spans="1:17" ht="12.75">
      <c r="A12" s="28" t="s">
        <v>50</v>
      </c>
      <c r="B12" s="35">
        <f t="shared" si="0"/>
        <v>0.896387184730743</v>
      </c>
      <c r="C12" s="67">
        <f>E12-'[1]US'!E12</f>
        <v>-572</v>
      </c>
      <c r="D12" s="13">
        <f>F12-'[1]US'!F12</f>
        <v>-324</v>
      </c>
      <c r="E12" s="149">
        <v>2782</v>
      </c>
      <c r="F12" s="13">
        <v>1467</v>
      </c>
      <c r="G12" s="113">
        <v>3830</v>
      </c>
      <c r="H12" s="113">
        <v>4650</v>
      </c>
      <c r="I12" s="113">
        <v>4917</v>
      </c>
      <c r="J12" s="113">
        <v>6898</v>
      </c>
      <c r="K12" s="113">
        <v>38</v>
      </c>
      <c r="L12" s="113">
        <v>8042</v>
      </c>
      <c r="M12" s="113">
        <v>3372.9582577132487</v>
      </c>
      <c r="N12" s="113">
        <v>12462.794918330308</v>
      </c>
      <c r="O12" s="113">
        <v>5183.303085299455</v>
      </c>
      <c r="P12" s="13">
        <v>2763.157894736842</v>
      </c>
      <c r="Q12" s="37">
        <v>4432.943738656987</v>
      </c>
    </row>
    <row r="13" spans="1:20" ht="12.75">
      <c r="A13" s="28" t="s">
        <v>51</v>
      </c>
      <c r="B13" s="35">
        <f t="shared" si="0"/>
        <v>0.26994241842610367</v>
      </c>
      <c r="C13" s="67">
        <f>E13-'[1]US'!E13</f>
        <v>-4154</v>
      </c>
      <c r="D13" s="13">
        <f>F13-'[1]US'!F13</f>
        <v>-10729</v>
      </c>
      <c r="E13" s="149">
        <v>33082</v>
      </c>
      <c r="F13" s="13">
        <v>26050</v>
      </c>
      <c r="G13" s="113">
        <v>25021</v>
      </c>
      <c r="H13" s="113">
        <v>38170</v>
      </c>
      <c r="I13" s="113">
        <v>38875</v>
      </c>
      <c r="J13" s="113">
        <v>42286</v>
      </c>
      <c r="K13" s="113">
        <v>15645</v>
      </c>
      <c r="L13" s="113">
        <v>32281</v>
      </c>
      <c r="M13" s="113">
        <v>23705.989110707804</v>
      </c>
      <c r="N13" s="113">
        <v>43505.444646098</v>
      </c>
      <c r="O13" s="113">
        <v>37521.778584392014</v>
      </c>
      <c r="P13" s="13">
        <v>32471.86932849365</v>
      </c>
      <c r="Q13" s="37">
        <v>30648.56624319419</v>
      </c>
      <c r="T13" s="1"/>
    </row>
    <row r="14" spans="1:17" ht="12.75">
      <c r="A14" s="28" t="s">
        <v>52</v>
      </c>
      <c r="B14" s="35">
        <f t="shared" si="0"/>
        <v>-0.2203567681007345</v>
      </c>
      <c r="C14" s="67">
        <f>E14-'[1]US'!E14</f>
        <v>-96</v>
      </c>
      <c r="D14" s="13">
        <f>F14-'[1]US'!F14</f>
        <v>-305</v>
      </c>
      <c r="E14" s="149">
        <v>1486</v>
      </c>
      <c r="F14" s="13">
        <v>1906</v>
      </c>
      <c r="G14" s="113">
        <v>1410</v>
      </c>
      <c r="H14" s="113">
        <v>1181</v>
      </c>
      <c r="I14" s="113">
        <v>1029</v>
      </c>
      <c r="J14" s="113">
        <v>2020</v>
      </c>
      <c r="K14" s="113">
        <v>1410</v>
      </c>
      <c r="L14" s="113">
        <v>2954</v>
      </c>
      <c r="M14" s="113">
        <v>3277.676950998185</v>
      </c>
      <c r="N14" s="113">
        <v>3106.1705989110706</v>
      </c>
      <c r="O14" s="113">
        <v>4078.0399274047186</v>
      </c>
      <c r="P14" s="13">
        <v>5030.852994555354</v>
      </c>
      <c r="Q14" s="37">
        <v>3619.4128856624316</v>
      </c>
    </row>
    <row r="15" spans="1:17" ht="12.75">
      <c r="A15" s="28" t="s">
        <v>53</v>
      </c>
      <c r="B15" s="35">
        <f t="shared" si="0"/>
        <v>38.10526315789474</v>
      </c>
      <c r="C15" s="67">
        <f>E15-'[1]US'!E15</f>
        <v>-134</v>
      </c>
      <c r="D15" s="13">
        <f>F15-'[1]US'!F15</f>
        <v>0</v>
      </c>
      <c r="E15" s="149">
        <v>743</v>
      </c>
      <c r="F15" s="13">
        <v>19</v>
      </c>
      <c r="G15" s="113">
        <v>0</v>
      </c>
      <c r="H15" s="113">
        <v>0</v>
      </c>
      <c r="I15" s="113">
        <v>0</v>
      </c>
      <c r="J15" s="113">
        <v>0</v>
      </c>
      <c r="K15" s="113">
        <v>1220</v>
      </c>
      <c r="L15" s="113">
        <v>1238.6569872958257</v>
      </c>
      <c r="M15" s="113">
        <v>1734.119782214156</v>
      </c>
      <c r="N15" s="113">
        <v>2477.3139745916515</v>
      </c>
      <c r="O15" s="113">
        <v>2572.595281306715</v>
      </c>
      <c r="P15" s="13">
        <v>362.0689655172414</v>
      </c>
      <c r="Q15" s="37">
        <v>212.00090744101632</v>
      </c>
    </row>
    <row r="16" spans="1:17" ht="12.75">
      <c r="A16" s="28" t="s">
        <v>54</v>
      </c>
      <c r="B16" s="35"/>
      <c r="C16" s="67">
        <f>E16-'[1]US'!E16</f>
        <v>0</v>
      </c>
      <c r="D16" s="13">
        <f>F16-'[1]US'!F16</f>
        <v>0</v>
      </c>
      <c r="E16" s="149">
        <v>0</v>
      </c>
      <c r="F16" s="13">
        <v>0</v>
      </c>
      <c r="G16" s="113">
        <v>0</v>
      </c>
      <c r="H16" s="113">
        <v>19</v>
      </c>
      <c r="I16" s="113">
        <v>0</v>
      </c>
      <c r="J16" s="113">
        <v>343</v>
      </c>
      <c r="K16" s="113">
        <v>19</v>
      </c>
      <c r="L16" s="113">
        <v>19</v>
      </c>
      <c r="M16" s="113">
        <v>0</v>
      </c>
      <c r="N16" s="113">
        <v>438.2940108892922</v>
      </c>
      <c r="O16" s="113">
        <v>5621.597096188748</v>
      </c>
      <c r="P16" s="13">
        <v>76.22504537205081</v>
      </c>
      <c r="Q16" s="37">
        <v>87.52540834845735</v>
      </c>
    </row>
    <row r="17" spans="1:17" ht="12.75">
      <c r="A17" s="29" t="s">
        <v>22</v>
      </c>
      <c r="B17" s="35">
        <f t="shared" si="0"/>
        <v>0.004530627038782167</v>
      </c>
      <c r="C17" s="67">
        <f>E17-'[1]US'!E17</f>
        <v>-12634</v>
      </c>
      <c r="D17" s="13">
        <f>F17-'[1]US'!F17</f>
        <v>-6117</v>
      </c>
      <c r="E17" s="149">
        <v>88688</v>
      </c>
      <c r="F17" s="13">
        <v>88288</v>
      </c>
      <c r="G17" s="13">
        <v>99340</v>
      </c>
      <c r="H17" s="13">
        <v>84019</v>
      </c>
      <c r="I17" s="13">
        <v>64620</v>
      </c>
      <c r="J17" s="13">
        <v>53548</v>
      </c>
      <c r="K17" s="13">
        <v>55740</v>
      </c>
      <c r="L17" s="13">
        <v>44592</v>
      </c>
      <c r="M17" s="13">
        <v>50003.629764065336</v>
      </c>
      <c r="N17" s="13">
        <v>52728.67513611615</v>
      </c>
      <c r="O17" s="13">
        <v>42076.22504537205</v>
      </c>
      <c r="P17" s="13">
        <v>42686.025408348454</v>
      </c>
      <c r="Q17" s="37">
        <v>30510.48457350272</v>
      </c>
    </row>
    <row r="18" spans="1:17" ht="12.75">
      <c r="A18" s="28" t="s">
        <v>19</v>
      </c>
      <c r="B18" s="35">
        <f t="shared" si="0"/>
        <v>-0.14605679567642316</v>
      </c>
      <c r="C18" s="67">
        <f>E18-'[1]US'!E18</f>
        <v>-35064</v>
      </c>
      <c r="D18" s="13">
        <f>F18-'[1]US'!F18</f>
        <v>-58388</v>
      </c>
      <c r="E18" s="149">
        <v>464382</v>
      </c>
      <c r="F18" s="13">
        <v>543809</v>
      </c>
      <c r="G18" s="113">
        <v>606332</v>
      </c>
      <c r="H18" s="113">
        <v>468555</v>
      </c>
      <c r="I18" s="113">
        <v>729779</v>
      </c>
      <c r="J18" s="113">
        <v>545752</v>
      </c>
      <c r="K18" s="113">
        <v>590687</v>
      </c>
      <c r="L18" s="113">
        <v>535881</v>
      </c>
      <c r="M18" s="113">
        <v>473452.81306715065</v>
      </c>
      <c r="N18" s="113">
        <v>556480.9437386569</v>
      </c>
      <c r="O18" s="113">
        <v>544913.7931034482</v>
      </c>
      <c r="P18" s="13">
        <v>480675.13611615245</v>
      </c>
      <c r="Q18" s="37">
        <v>545821.6905626134</v>
      </c>
    </row>
    <row r="19" spans="1:17" ht="12.75">
      <c r="A19" s="28" t="s">
        <v>55</v>
      </c>
      <c r="B19" s="35">
        <f t="shared" si="0"/>
        <v>-0.13933077345035655</v>
      </c>
      <c r="C19" s="67">
        <f>E19-'[1]US'!E19</f>
        <v>-267</v>
      </c>
      <c r="D19" s="13">
        <f>F19-'[1]US'!F19</f>
        <v>-2592</v>
      </c>
      <c r="E19" s="149">
        <v>4707</v>
      </c>
      <c r="F19" s="13">
        <v>5469</v>
      </c>
      <c r="G19" s="113">
        <v>8518</v>
      </c>
      <c r="H19" s="113">
        <v>6079</v>
      </c>
      <c r="I19" s="113">
        <v>7680</v>
      </c>
      <c r="J19" s="113">
        <v>6651</v>
      </c>
      <c r="K19" s="113">
        <v>4307</v>
      </c>
      <c r="L19" s="113">
        <v>7318</v>
      </c>
      <c r="M19" s="113">
        <v>5126.134301270417</v>
      </c>
      <c r="N19" s="113">
        <v>6364.791288566244</v>
      </c>
      <c r="O19" s="113">
        <v>10328.493647912886</v>
      </c>
      <c r="P19" s="13">
        <v>8327.586206896553</v>
      </c>
      <c r="Q19" s="37">
        <v>9555.476406533575</v>
      </c>
    </row>
    <row r="20" spans="1:17" ht="12.75">
      <c r="A20" s="28" t="s">
        <v>56</v>
      </c>
      <c r="B20" s="35">
        <f t="shared" si="0"/>
        <v>-0.6695572797809219</v>
      </c>
      <c r="C20" s="67">
        <f>E20-'[1]US'!E20</f>
        <v>-267</v>
      </c>
      <c r="D20" s="13">
        <f>F20-'[1]US'!F20</f>
        <v>95</v>
      </c>
      <c r="E20" s="149">
        <v>724</v>
      </c>
      <c r="F20" s="13">
        <v>2191</v>
      </c>
      <c r="G20" s="113">
        <v>3278</v>
      </c>
      <c r="H20" s="113">
        <v>3144</v>
      </c>
      <c r="I20" s="113">
        <v>2820</v>
      </c>
      <c r="J20" s="113">
        <v>7299</v>
      </c>
      <c r="K20" s="113">
        <v>838</v>
      </c>
      <c r="L20" s="113">
        <v>5545</v>
      </c>
      <c r="M20" s="113">
        <v>5964.609800362977</v>
      </c>
      <c r="N20" s="113">
        <v>8041.7422867513615</v>
      </c>
      <c r="O20" s="113">
        <v>10461.887477313974</v>
      </c>
      <c r="P20" s="13">
        <v>6231.397459165154</v>
      </c>
      <c r="Q20" s="37">
        <v>12237.359346642468</v>
      </c>
    </row>
    <row r="21" spans="1:17" ht="12.75">
      <c r="A21" s="28" t="s">
        <v>35</v>
      </c>
      <c r="B21" s="35">
        <f t="shared" si="0"/>
        <v>-0.00823937554206418</v>
      </c>
      <c r="C21" s="67">
        <f>E21-'[1]US'!E21</f>
        <v>-533</v>
      </c>
      <c r="D21" s="13">
        <f>F21-'[1]US'!F21</f>
        <v>-838</v>
      </c>
      <c r="E21" s="149">
        <v>2287</v>
      </c>
      <c r="F21" s="13">
        <v>2306</v>
      </c>
      <c r="G21" s="113">
        <v>1296</v>
      </c>
      <c r="H21" s="113">
        <v>2763</v>
      </c>
      <c r="I21" s="113">
        <v>1677</v>
      </c>
      <c r="J21" s="113">
        <v>2153</v>
      </c>
      <c r="K21" s="113">
        <v>915</v>
      </c>
      <c r="L21" s="113">
        <v>2763.157894736842</v>
      </c>
      <c r="M21" s="113">
        <v>1924.6823956442831</v>
      </c>
      <c r="N21" s="113">
        <v>3334.8457350272233</v>
      </c>
      <c r="O21" s="113">
        <v>2286.7513611615245</v>
      </c>
      <c r="P21" s="13">
        <v>3163.339382940109</v>
      </c>
      <c r="Q21" s="37">
        <v>4097.5344827586205</v>
      </c>
    </row>
    <row r="22" spans="1:17" ht="12.75">
      <c r="A22" s="28" t="s">
        <v>21</v>
      </c>
      <c r="B22" s="35">
        <f t="shared" si="0"/>
        <v>-0.2052469135802469</v>
      </c>
      <c r="C22" s="67">
        <f>E22-'[1]US'!E22</f>
        <v>-95</v>
      </c>
      <c r="D22" s="13">
        <f>F22-'[1]US'!F22</f>
        <v>-248</v>
      </c>
      <c r="E22" s="149">
        <v>515</v>
      </c>
      <c r="F22" s="13">
        <v>648</v>
      </c>
      <c r="G22" s="113">
        <v>400</v>
      </c>
      <c r="H22" s="113">
        <v>610</v>
      </c>
      <c r="I22" s="113">
        <v>686</v>
      </c>
      <c r="J22" s="113">
        <v>591</v>
      </c>
      <c r="K22" s="113">
        <v>515</v>
      </c>
      <c r="L22" s="113">
        <v>838.475499092559</v>
      </c>
      <c r="M22" s="113">
        <v>1048.0943738656988</v>
      </c>
      <c r="N22" s="113">
        <v>1333.9382940108892</v>
      </c>
      <c r="O22" s="113">
        <v>1372.0508166969148</v>
      </c>
      <c r="P22" s="13">
        <v>1391.1070780399275</v>
      </c>
      <c r="Q22" s="37">
        <v>1904.9019963702358</v>
      </c>
    </row>
    <row r="23" spans="1:17" ht="12.75">
      <c r="A23" s="28" t="s">
        <v>57</v>
      </c>
      <c r="B23" s="35"/>
      <c r="C23" s="67">
        <f>E23-'[1]US'!E23</f>
        <v>0</v>
      </c>
      <c r="D23" s="13">
        <f>F23-'[1]US'!F23</f>
        <v>0</v>
      </c>
      <c r="E23" s="149">
        <v>0</v>
      </c>
      <c r="F23" s="13">
        <v>0</v>
      </c>
      <c r="G23" s="113">
        <v>0</v>
      </c>
      <c r="H23" s="113">
        <v>0</v>
      </c>
      <c r="I23" s="113">
        <v>0</v>
      </c>
      <c r="J23" s="113">
        <v>191</v>
      </c>
      <c r="K23" s="113">
        <v>57</v>
      </c>
      <c r="L23" s="113">
        <v>38.11252268602541</v>
      </c>
      <c r="M23" s="113">
        <v>38.11252268602541</v>
      </c>
      <c r="N23" s="113">
        <v>38.11252268602541</v>
      </c>
      <c r="O23" s="113">
        <v>438.2940108892922</v>
      </c>
      <c r="P23" s="13">
        <v>114.33756805807623</v>
      </c>
      <c r="Q23" s="37">
        <v>629.8666061705989</v>
      </c>
    </row>
    <row r="24" spans="1:17" ht="12.75">
      <c r="A24" s="28" t="s">
        <v>58</v>
      </c>
      <c r="B24" s="35">
        <f t="shared" si="0"/>
        <v>22.57894736842105</v>
      </c>
      <c r="C24" s="67">
        <f>E24-'[1]US'!E24</f>
        <v>-57</v>
      </c>
      <c r="D24" s="13">
        <f>F24-'[1]US'!F24</f>
        <v>0</v>
      </c>
      <c r="E24" s="149">
        <v>896</v>
      </c>
      <c r="F24" s="13">
        <v>38</v>
      </c>
      <c r="G24" s="113">
        <v>191</v>
      </c>
      <c r="H24" s="113">
        <v>210</v>
      </c>
      <c r="I24" s="113">
        <v>76</v>
      </c>
      <c r="J24" s="113">
        <v>267</v>
      </c>
      <c r="K24" s="113">
        <v>305</v>
      </c>
      <c r="L24" s="113">
        <v>495</v>
      </c>
      <c r="M24" s="113">
        <v>552.6315789473684</v>
      </c>
      <c r="N24" s="113">
        <v>857.5317604355716</v>
      </c>
      <c r="O24" s="113">
        <v>609.8003629764065</v>
      </c>
      <c r="P24" s="13">
        <v>1009.9818511796733</v>
      </c>
      <c r="Q24" s="37">
        <v>343.03176043557164</v>
      </c>
    </row>
    <row r="25" spans="1:17" ht="13.5" thickBot="1">
      <c r="A25" s="30" t="s">
        <v>59</v>
      </c>
      <c r="B25" s="36">
        <f t="shared" si="0"/>
        <v>-0.087664635514664</v>
      </c>
      <c r="C25" s="67">
        <f>E25-'[1]US'!E25</f>
        <v>-19038</v>
      </c>
      <c r="D25" s="13">
        <f>F25-'[1]US'!F25</f>
        <v>-18027</v>
      </c>
      <c r="E25" s="170">
        <f>90041+15664</f>
        <v>105705</v>
      </c>
      <c r="F25" s="15">
        <v>115862</v>
      </c>
      <c r="G25" s="114">
        <v>168362</v>
      </c>
      <c r="H25" s="114">
        <v>135147</v>
      </c>
      <c r="I25" s="114">
        <v>126648</v>
      </c>
      <c r="J25" s="114">
        <v>90346</v>
      </c>
      <c r="K25" s="114">
        <v>55473</v>
      </c>
      <c r="L25" s="114">
        <v>53053</v>
      </c>
      <c r="M25" s="114">
        <v>45010.88929219601</v>
      </c>
      <c r="N25" s="114">
        <v>52785.84392014519</v>
      </c>
      <c r="O25" s="114">
        <v>49393.82940108893</v>
      </c>
      <c r="P25" s="15">
        <v>36702.35934664247</v>
      </c>
      <c r="Q25" s="39">
        <v>34918.50272232305</v>
      </c>
    </row>
    <row r="26" spans="1:17" ht="13.5" thickBot="1">
      <c r="A26" s="45" t="s">
        <v>23</v>
      </c>
      <c r="B26" s="41">
        <f t="shared" si="0"/>
        <v>-0.15766247910915818</v>
      </c>
      <c r="C26" s="93">
        <f>E26-'[1]US'!E26</f>
        <v>-219377</v>
      </c>
      <c r="D26" s="130">
        <f>F26-'[1]US'!F26</f>
        <v>-265568</v>
      </c>
      <c r="E26" s="142">
        <f>SUM(E2:E25)</f>
        <v>1749423</v>
      </c>
      <c r="F26" s="42">
        <f aca="true" t="shared" si="1" ref="F26:K26">SUM(F2:F25)</f>
        <v>2076867</v>
      </c>
      <c r="G26" s="42">
        <f t="shared" si="1"/>
        <v>1969768</v>
      </c>
      <c r="H26" s="42">
        <f t="shared" si="1"/>
        <v>1724534</v>
      </c>
      <c r="I26" s="42">
        <f t="shared" si="1"/>
        <v>2162069</v>
      </c>
      <c r="J26" s="42">
        <f t="shared" si="1"/>
        <v>1739782</v>
      </c>
      <c r="K26" s="42">
        <f t="shared" si="1"/>
        <v>1716531</v>
      </c>
      <c r="L26" s="42">
        <f aca="true" t="shared" si="2" ref="L26:Q26">SUM(L2:L25)</f>
        <v>1556000.3702359349</v>
      </c>
      <c r="M26" s="42">
        <f t="shared" si="2"/>
        <v>1494792.1960072594</v>
      </c>
      <c r="N26" s="42">
        <f t="shared" si="2"/>
        <v>1552627.949183303</v>
      </c>
      <c r="O26" s="42">
        <f t="shared" si="2"/>
        <v>1720513.6116152445</v>
      </c>
      <c r="P26" s="42">
        <f t="shared" si="2"/>
        <v>1396442.831215971</v>
      </c>
      <c r="Q26" s="43">
        <f t="shared" si="2"/>
        <v>1423528.0671506347</v>
      </c>
    </row>
    <row r="27" spans="2:15" s="9" customFormat="1" ht="12.75">
      <c r="B27" s="44"/>
      <c r="C27" s="44"/>
      <c r="D27" s="44"/>
      <c r="E27" s="44"/>
      <c r="F27" s="44"/>
      <c r="G27" s="44"/>
      <c r="H27" s="12"/>
      <c r="I27" s="12"/>
      <c r="J27" s="12"/>
      <c r="K27" s="12"/>
      <c r="L27" s="12"/>
      <c r="M27" s="12"/>
      <c r="N27" s="12"/>
      <c r="O27" s="12"/>
    </row>
    <row r="28" spans="2:15" s="9" customFormat="1" ht="13.5" thickBot="1">
      <c r="B28" s="44"/>
      <c r="C28" s="44"/>
      <c r="D28" s="44"/>
      <c r="E28" s="44"/>
      <c r="F28" s="44"/>
      <c r="G28" s="44"/>
      <c r="H28" s="12"/>
      <c r="I28" s="12"/>
      <c r="J28" s="12"/>
      <c r="K28" s="12"/>
      <c r="L28" s="12"/>
      <c r="M28" s="12"/>
      <c r="N28" s="12"/>
      <c r="O28" s="12"/>
    </row>
    <row r="29" spans="1:17" s="16" customFormat="1" ht="13.5" thickBot="1">
      <c r="A29" s="31" t="s">
        <v>25</v>
      </c>
      <c r="B29" s="32" t="s">
        <v>177</v>
      </c>
      <c r="C29" s="66" t="s">
        <v>176</v>
      </c>
      <c r="D29" s="112" t="s">
        <v>173</v>
      </c>
      <c r="E29" s="171">
        <v>43466</v>
      </c>
      <c r="F29" s="33">
        <v>43101</v>
      </c>
      <c r="G29" s="33">
        <v>42736</v>
      </c>
      <c r="H29" s="33">
        <f>H1</f>
        <v>42370</v>
      </c>
      <c r="I29" s="33">
        <f>I1</f>
        <v>42005</v>
      </c>
      <c r="J29" s="33">
        <v>41640</v>
      </c>
      <c r="K29" s="33">
        <v>41275</v>
      </c>
      <c r="L29" s="33">
        <v>40909</v>
      </c>
      <c r="M29" s="33">
        <v>40544</v>
      </c>
      <c r="N29" s="33">
        <v>40179</v>
      </c>
      <c r="O29" s="33">
        <v>39814</v>
      </c>
      <c r="P29" s="33">
        <v>39448</v>
      </c>
      <c r="Q29" s="34">
        <v>39083</v>
      </c>
    </row>
    <row r="30" spans="1:17" ht="12.75">
      <c r="A30" s="27" t="s">
        <v>41</v>
      </c>
      <c r="B30" s="35">
        <f aca="true" t="shared" si="3" ref="B30:B40">(E30-F30)/F30</f>
        <v>0.26725117872044385</v>
      </c>
      <c r="C30" s="67">
        <f>E30-'[1]US'!E30</f>
        <v>-20396.459999999992</v>
      </c>
      <c r="D30" s="13">
        <f>F30-'[1]US'!F30</f>
        <v>-16462.64</v>
      </c>
      <c r="E30" s="149">
        <v>137925.54</v>
      </c>
      <c r="F30" s="13">
        <v>108838.36</v>
      </c>
      <c r="G30" s="13">
        <v>99106</v>
      </c>
      <c r="H30" s="13">
        <v>109698.58</v>
      </c>
      <c r="I30" s="13">
        <v>134250.48</v>
      </c>
      <c r="J30" s="13">
        <v>137339.82</v>
      </c>
      <c r="K30" s="13">
        <v>118945.06</v>
      </c>
      <c r="L30" s="13">
        <v>139573</v>
      </c>
      <c r="M30" s="13">
        <v>118611.5</v>
      </c>
      <c r="N30" s="13">
        <v>134881.84</v>
      </c>
      <c r="O30" s="13">
        <v>110279.7</v>
      </c>
      <c r="P30" s="13">
        <v>122975</v>
      </c>
      <c r="Q30" s="37">
        <v>94106</v>
      </c>
    </row>
    <row r="31" spans="1:17" ht="12.75">
      <c r="A31" s="27" t="s">
        <v>42</v>
      </c>
      <c r="B31" s="35">
        <f t="shared" si="3"/>
        <v>0.9850591421318291</v>
      </c>
      <c r="C31" s="67">
        <f>E31-'[1]US'!E31</f>
        <v>-7535.139999999999</v>
      </c>
      <c r="D31" s="13">
        <f>F31-'[1]US'!F31</f>
        <v>-6391.299999999999</v>
      </c>
      <c r="E31" s="149">
        <v>46838.86</v>
      </c>
      <c r="F31" s="13">
        <v>23595.7</v>
      </c>
      <c r="G31" s="13">
        <v>35974</v>
      </c>
      <c r="H31" s="13">
        <v>34343.64</v>
      </c>
      <c r="I31" s="13">
        <v>29660.36</v>
      </c>
      <c r="J31" s="13">
        <v>35851.92</v>
      </c>
      <c r="K31" s="13">
        <v>26245.42</v>
      </c>
      <c r="L31" s="13">
        <v>43889</v>
      </c>
      <c r="M31" s="13">
        <v>20501.84</v>
      </c>
      <c r="N31" s="13">
        <v>29797.68</v>
      </c>
      <c r="O31" s="13">
        <v>37315.22</v>
      </c>
      <c r="P31" s="13">
        <v>25107</v>
      </c>
      <c r="Q31" s="37">
        <v>35499.76</v>
      </c>
    </row>
    <row r="32" spans="1:17" ht="12.75">
      <c r="A32" s="27" t="s">
        <v>43</v>
      </c>
      <c r="B32" s="35">
        <f t="shared" si="3"/>
        <v>0.2831719023649228</v>
      </c>
      <c r="C32" s="67">
        <f>E32-'[1]US'!E32</f>
        <v>-2663.959999999999</v>
      </c>
      <c r="D32" s="13">
        <f>F32-'[1]US'!F32</f>
        <v>-2434.42</v>
      </c>
      <c r="E32" s="149">
        <v>15137.04</v>
      </c>
      <c r="F32" s="13">
        <v>11796.58</v>
      </c>
      <c r="G32" s="13">
        <v>11647</v>
      </c>
      <c r="H32" s="13">
        <v>9230.66</v>
      </c>
      <c r="I32" s="13">
        <v>13731.34</v>
      </c>
      <c r="J32" s="13">
        <v>12063.68</v>
      </c>
      <c r="K32" s="13">
        <v>11330.24</v>
      </c>
      <c r="L32" s="13">
        <v>11211</v>
      </c>
      <c r="M32" s="13">
        <v>9633.6</v>
      </c>
      <c r="N32" s="13">
        <v>11157.22</v>
      </c>
      <c r="O32" s="13">
        <v>11541.76</v>
      </c>
      <c r="P32" s="13">
        <v>12109</v>
      </c>
      <c r="Q32" s="37">
        <v>9780.46</v>
      </c>
    </row>
    <row r="33" spans="1:17" ht="12.75">
      <c r="A33" s="27" t="s">
        <v>44</v>
      </c>
      <c r="B33" s="35">
        <f t="shared" si="3"/>
        <v>1.351869356889077</v>
      </c>
      <c r="C33" s="67">
        <f>E33-'[1]US'!E33</f>
        <v>-961.94</v>
      </c>
      <c r="D33" s="13">
        <f>F33-'[1]US'!F33</f>
        <v>-915.42</v>
      </c>
      <c r="E33" s="149">
        <v>1443.06</v>
      </c>
      <c r="F33" s="13">
        <v>613.58</v>
      </c>
      <c r="G33" s="13">
        <v>1316</v>
      </c>
      <c r="H33" s="13">
        <v>644.36</v>
      </c>
      <c r="I33" s="13">
        <v>1130.14</v>
      </c>
      <c r="J33" s="13">
        <v>1884.36</v>
      </c>
      <c r="K33" s="13">
        <v>944.04</v>
      </c>
      <c r="L33" s="13">
        <v>2211</v>
      </c>
      <c r="M33" s="13">
        <v>640.16</v>
      </c>
      <c r="N33" s="13">
        <v>1669.46</v>
      </c>
      <c r="O33" s="13">
        <v>2175.36</v>
      </c>
      <c r="P33" s="13">
        <v>1554</v>
      </c>
      <c r="Q33" s="37">
        <v>1731.9</v>
      </c>
    </row>
    <row r="34" spans="1:17" ht="12.75">
      <c r="A34" s="27" t="s">
        <v>148</v>
      </c>
      <c r="B34" s="35">
        <f t="shared" si="3"/>
        <v>1.8161602049132612</v>
      </c>
      <c r="C34" s="67">
        <f>E34-'[1]US'!E34</f>
        <v>-139.24</v>
      </c>
      <c r="D34" s="13">
        <f>F34-'[1]US'!F34</f>
        <v>-149.22</v>
      </c>
      <c r="E34" s="149">
        <v>483.76</v>
      </c>
      <c r="F34" s="13">
        <v>171.78</v>
      </c>
      <c r="G34" s="13">
        <v>45</v>
      </c>
      <c r="H34" s="13">
        <v>47.62</v>
      </c>
      <c r="I34" s="13">
        <v>136.58</v>
      </c>
      <c r="J34" s="13">
        <v>227.12</v>
      </c>
      <c r="K34" s="13">
        <v>135.52</v>
      </c>
      <c r="L34" s="13">
        <v>842</v>
      </c>
      <c r="M34" s="13">
        <v>220.78</v>
      </c>
      <c r="N34" s="13"/>
      <c r="O34" s="13"/>
      <c r="P34" s="13"/>
      <c r="Q34" s="37"/>
    </row>
    <row r="35" spans="1:17" ht="12.75">
      <c r="A35" s="27" t="s">
        <v>45</v>
      </c>
      <c r="B35" s="35">
        <f t="shared" si="3"/>
        <v>1.273258426966292</v>
      </c>
      <c r="C35" s="67">
        <f>E35-'[1]US'!E35</f>
        <v>-118.36000000000001</v>
      </c>
      <c r="D35" s="13">
        <f>F35-'[1]US'!F35</f>
        <v>-99</v>
      </c>
      <c r="E35" s="149">
        <v>404.64</v>
      </c>
      <c r="F35" s="13">
        <v>178</v>
      </c>
      <c r="G35" s="13">
        <v>352</v>
      </c>
      <c r="H35" s="13">
        <v>28.04</v>
      </c>
      <c r="I35" s="13">
        <v>158.88</v>
      </c>
      <c r="J35" s="13">
        <v>341</v>
      </c>
      <c r="K35" s="13">
        <v>295.14</v>
      </c>
      <c r="L35" s="13">
        <v>488</v>
      </c>
      <c r="M35" s="13">
        <v>65.62</v>
      </c>
      <c r="N35" s="13">
        <v>167.44</v>
      </c>
      <c r="O35" s="13">
        <v>328.08</v>
      </c>
      <c r="P35" s="13">
        <v>220</v>
      </c>
      <c r="Q35" s="37">
        <v>305.48</v>
      </c>
    </row>
    <row r="36" spans="1:17" ht="12.75">
      <c r="A36" s="27" t="s">
        <v>168</v>
      </c>
      <c r="B36" s="35">
        <f t="shared" si="3"/>
        <v>20.230526315789472</v>
      </c>
      <c r="C36" s="67">
        <f>E36-'[1]US'!E36</f>
        <v>-251.62</v>
      </c>
      <c r="D36" s="13">
        <f>F36-'[1]US'!F36</f>
        <v>-141</v>
      </c>
      <c r="E36" s="149">
        <v>403.38</v>
      </c>
      <c r="F36" s="13">
        <v>19</v>
      </c>
      <c r="G36" s="13">
        <v>383</v>
      </c>
      <c r="H36" s="13">
        <v>22.32</v>
      </c>
      <c r="I36" s="13"/>
      <c r="J36" s="13"/>
      <c r="K36" s="13"/>
      <c r="L36" s="13"/>
      <c r="M36" s="13"/>
      <c r="N36" s="13"/>
      <c r="O36" s="13"/>
      <c r="P36" s="13"/>
      <c r="Q36" s="37"/>
    </row>
    <row r="37" spans="1:17" ht="12.75">
      <c r="A37" s="27" t="s">
        <v>46</v>
      </c>
      <c r="B37" s="35"/>
      <c r="C37" s="67">
        <f>E37-'[1]US'!E37</f>
        <v>0</v>
      </c>
      <c r="D37" s="13">
        <f>F37-'[1]US'!F37</f>
        <v>0</v>
      </c>
      <c r="E37" s="149"/>
      <c r="F37" s="13"/>
      <c r="G37" s="13"/>
      <c r="H37" s="13"/>
      <c r="I37" s="13"/>
      <c r="J37" s="13"/>
      <c r="K37" s="13">
        <v>173.16</v>
      </c>
      <c r="L37" s="13">
        <v>141</v>
      </c>
      <c r="M37" s="13">
        <v>7.78</v>
      </c>
      <c r="N37" s="13">
        <v>127.38</v>
      </c>
      <c r="O37" s="13">
        <v>199.36</v>
      </c>
      <c r="P37" s="13">
        <v>158</v>
      </c>
      <c r="Q37" s="37">
        <v>188.92</v>
      </c>
    </row>
    <row r="38" spans="1:17" ht="12.75">
      <c r="A38" s="27" t="s">
        <v>48</v>
      </c>
      <c r="B38" s="35">
        <f t="shared" si="3"/>
        <v>-0.654020618556701</v>
      </c>
      <c r="C38" s="67">
        <f>E38-'[1]US'!E38</f>
        <v>-82.66</v>
      </c>
      <c r="D38" s="13">
        <f>F38-'[1]US'!F38</f>
        <v>-100.5</v>
      </c>
      <c r="E38" s="149">
        <v>50.34</v>
      </c>
      <c r="F38" s="13">
        <v>145.5</v>
      </c>
      <c r="G38" s="13">
        <v>124</v>
      </c>
      <c r="H38" s="13">
        <v>246.12</v>
      </c>
      <c r="I38" s="13">
        <v>692.48</v>
      </c>
      <c r="J38" s="13">
        <v>331</v>
      </c>
      <c r="K38" s="13">
        <v>949.38</v>
      </c>
      <c r="L38" s="13">
        <v>315</v>
      </c>
      <c r="M38" s="13">
        <v>429.62</v>
      </c>
      <c r="N38" s="13">
        <v>606.02</v>
      </c>
      <c r="O38" s="13">
        <v>1475.58</v>
      </c>
      <c r="P38" s="13">
        <v>1432</v>
      </c>
      <c r="Q38" s="37">
        <v>1238.62</v>
      </c>
    </row>
    <row r="39" spans="1:17" ht="13.5" thickBot="1">
      <c r="A39" s="38" t="s">
        <v>47</v>
      </c>
      <c r="B39" s="36">
        <f t="shared" si="3"/>
        <v>1.2157061695951565</v>
      </c>
      <c r="C39" s="68">
        <f>E39-'[1]US'!E39</f>
        <v>-18011.54</v>
      </c>
      <c r="D39" s="15">
        <f>F39-'[1]US'!F39</f>
        <v>-9503.64</v>
      </c>
      <c r="E39" s="170">
        <v>23540.46</v>
      </c>
      <c r="F39" s="15">
        <v>10624.36</v>
      </c>
      <c r="G39" s="114">
        <v>17556</v>
      </c>
      <c r="H39" s="15">
        <v>8851</v>
      </c>
      <c r="I39" s="15">
        <v>12553.66</v>
      </c>
      <c r="J39" s="15">
        <v>15762</v>
      </c>
      <c r="K39" s="15">
        <v>12892.18</v>
      </c>
      <c r="L39" s="15">
        <v>11547</v>
      </c>
      <c r="M39" s="15">
        <v>5967.26</v>
      </c>
      <c r="N39" s="15">
        <v>4902</v>
      </c>
      <c r="O39" s="15">
        <v>5832.02</v>
      </c>
      <c r="P39" s="15">
        <v>6491</v>
      </c>
      <c r="Q39" s="39">
        <v>5194</v>
      </c>
    </row>
    <row r="40" spans="1:17" ht="13.5" thickBot="1">
      <c r="A40" s="40" t="s">
        <v>23</v>
      </c>
      <c r="B40" s="41">
        <f t="shared" si="3"/>
        <v>0.4503329404269166</v>
      </c>
      <c r="C40" s="69">
        <f>E40-'[1]US'!E40</f>
        <v>-50160.919999999955</v>
      </c>
      <c r="D40" s="42">
        <f>F40-'[1]US'!F40</f>
        <v>-36197.140000000014</v>
      </c>
      <c r="E40" s="142">
        <f>SUM(E30:E39)</f>
        <v>226227.08000000005</v>
      </c>
      <c r="F40" s="42">
        <f>SUM(F30:F39)</f>
        <v>155982.86</v>
      </c>
      <c r="G40" s="42">
        <f>SUM(G30:G39)</f>
        <v>166503</v>
      </c>
      <c r="H40" s="42">
        <f>SUM(H30:H39)</f>
        <v>163112.34</v>
      </c>
      <c r="I40" s="42">
        <f>SUM(I30:I39)</f>
        <v>192313.92000000004</v>
      </c>
      <c r="J40" s="42">
        <f aca="true" t="shared" si="4" ref="J40:Q40">SUM(J30:J39)</f>
        <v>203800.89999999997</v>
      </c>
      <c r="K40" s="42">
        <f t="shared" si="4"/>
        <v>171910.13999999998</v>
      </c>
      <c r="L40" s="42">
        <f t="shared" si="4"/>
        <v>210217</v>
      </c>
      <c r="M40" s="42">
        <f t="shared" si="4"/>
        <v>156078.16</v>
      </c>
      <c r="N40" s="42">
        <f t="shared" si="4"/>
        <v>183309.03999999998</v>
      </c>
      <c r="O40" s="42">
        <f t="shared" si="4"/>
        <v>169147.07999999993</v>
      </c>
      <c r="P40" s="42">
        <f t="shared" si="4"/>
        <v>170046</v>
      </c>
      <c r="Q40" s="135">
        <f t="shared" si="4"/>
        <v>148045.14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7109375" style="16" customWidth="1"/>
    <col min="4" max="6" width="11.8515625" style="12" customWidth="1"/>
    <col min="7" max="7" width="10.140625" style="16" bestFit="1" customWidth="1"/>
    <col min="8" max="15" width="10.140625" style="12" bestFit="1" customWidth="1"/>
    <col min="16" max="17" width="10.140625" style="0" bestFit="1" customWidth="1"/>
    <col min="20" max="20" width="21.8515625" style="0" customWidth="1"/>
  </cols>
  <sheetData>
    <row r="1" spans="1:22" s="16" customFormat="1" ht="13.5" thickBot="1">
      <c r="A1" s="31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115">
        <v>42370</v>
      </c>
      <c r="I1" s="115">
        <v>42005</v>
      </c>
      <c r="J1" s="115">
        <v>41640</v>
      </c>
      <c r="K1" s="115">
        <v>41275</v>
      </c>
      <c r="L1" s="115">
        <v>40909</v>
      </c>
      <c r="M1" s="115">
        <v>40544</v>
      </c>
      <c r="N1" s="115">
        <v>40179</v>
      </c>
      <c r="O1" s="115">
        <v>39814</v>
      </c>
      <c r="P1" s="33">
        <v>39448</v>
      </c>
      <c r="Q1" s="52">
        <v>39083</v>
      </c>
      <c r="T1" s="46"/>
      <c r="U1" s="47"/>
      <c r="V1" s="47"/>
    </row>
    <row r="2" spans="1:22" ht="12.75">
      <c r="A2" s="27" t="s">
        <v>8</v>
      </c>
      <c r="B2" s="35">
        <f>(E2-F2)/F2</f>
        <v>0.9038580923232947</v>
      </c>
      <c r="C2" s="67">
        <f>E2-'[1]EU - country'!E2</f>
        <v>-10300.859999999986</v>
      </c>
      <c r="D2" s="13">
        <f>F2-'[1]EU - country'!F2</f>
        <v>-7934</v>
      </c>
      <c r="E2" s="149">
        <f>Austria!E$21</f>
        <v>105129.14000000001</v>
      </c>
      <c r="F2" s="13">
        <f>Austria!F$21</f>
        <v>55219</v>
      </c>
      <c r="G2" s="13">
        <f>Austria!G$21</f>
        <v>27726.650000000005</v>
      </c>
      <c r="H2" s="13">
        <f>Austria!H$21</f>
        <v>119410.09999999999</v>
      </c>
      <c r="I2" s="13">
        <f>Austria!I$21</f>
        <v>123349</v>
      </c>
      <c r="J2" s="13">
        <f>Austria!J$21</f>
        <v>113206.86</v>
      </c>
      <c r="K2" s="13">
        <f>Austria!K$21</f>
        <v>103699</v>
      </c>
      <c r="L2" s="13">
        <f>Austria!L$21</f>
        <v>143411.37</v>
      </c>
      <c r="M2" s="13">
        <f>Austria!M$21</f>
        <v>134492</v>
      </c>
      <c r="N2" s="13">
        <f>Austria!N$21</f>
        <v>131438</v>
      </c>
      <c r="O2" s="13">
        <f>Austria!O$21</f>
        <v>116170</v>
      </c>
      <c r="P2" s="13">
        <f>Austria!P$21</f>
        <v>117438</v>
      </c>
      <c r="Q2" s="49">
        <f>Austria!Q$21</f>
        <v>103971</v>
      </c>
      <c r="S2" s="3"/>
      <c r="U2" s="1"/>
      <c r="V2" s="1"/>
    </row>
    <row r="3" spans="1:22" ht="12.75">
      <c r="A3" s="27" t="s">
        <v>0</v>
      </c>
      <c r="B3" s="35">
        <f aca="true" t="shared" si="0" ref="B3:B15">(E3-F3)/F3</f>
        <v>4.98137385016704</v>
      </c>
      <c r="C3" s="67">
        <f>E3-'[1]EU - country'!E3</f>
        <v>-57013</v>
      </c>
      <c r="D3" s="13">
        <f>F3-'[1]EU - country'!F3</f>
        <v>-11910</v>
      </c>
      <c r="E3" s="149">
        <f>Belgium!E$10</f>
        <v>130699</v>
      </c>
      <c r="F3" s="13">
        <f>Belgium!F$10</f>
        <v>21851</v>
      </c>
      <c r="G3" s="13">
        <f>Belgium!G$10</f>
        <v>87931</v>
      </c>
      <c r="H3" s="13">
        <f>Belgium!H$10</f>
        <v>147359</v>
      </c>
      <c r="I3" s="13">
        <f>Belgium!I$10</f>
        <v>167496</v>
      </c>
      <c r="J3" s="13">
        <f>Belgium!J$10</f>
        <v>107068</v>
      </c>
      <c r="K3" s="13">
        <f>Belgium!K$10</f>
        <v>100105</v>
      </c>
      <c r="L3" s="13">
        <f>Belgium!L$10</f>
        <v>119986</v>
      </c>
      <c r="M3" s="13">
        <f>Belgium!M$10</f>
        <v>106357</v>
      </c>
      <c r="N3" s="13">
        <f>Belgium!N$10</f>
        <v>147073</v>
      </c>
      <c r="O3" s="13">
        <f>Belgium!O$10</f>
        <v>184500</v>
      </c>
      <c r="P3" s="13">
        <f>Belgium!P$10</f>
        <v>170300</v>
      </c>
      <c r="Q3" s="49">
        <f>Belgium!Q$10</f>
        <v>178000</v>
      </c>
      <c r="U3" s="1"/>
      <c r="V3" s="1"/>
    </row>
    <row r="4" spans="1:22" ht="12.75">
      <c r="A4" s="27" t="s">
        <v>31</v>
      </c>
      <c r="B4" s="35">
        <f t="shared" si="0"/>
        <v>0.5877729007086094</v>
      </c>
      <c r="C4" s="67">
        <f>E4-'[1]EU - country'!E4</f>
        <v>-10854</v>
      </c>
      <c r="D4" s="13">
        <f>F4-'[1]EU - country'!F4</f>
        <v>-6298</v>
      </c>
      <c r="E4" s="149">
        <f>'Czech Republic'!E$12</f>
        <v>55345</v>
      </c>
      <c r="F4" s="13">
        <f>'Czech Republic'!F$12</f>
        <v>34857</v>
      </c>
      <c r="G4" s="13">
        <f>'Czech Republic'!G$12</f>
        <v>33845</v>
      </c>
      <c r="H4" s="13">
        <f>'Czech Republic'!H$12</f>
        <v>49401</v>
      </c>
      <c r="I4" s="13">
        <f>'Czech Republic'!I$12</f>
        <v>41041</v>
      </c>
      <c r="J4" s="13">
        <f>'Czech Republic'!J$12</f>
        <v>33184</v>
      </c>
      <c r="K4" s="13">
        <f>'Czech Republic'!K$12</f>
        <v>31660</v>
      </c>
      <c r="L4" s="13">
        <f>'Czech Republic'!L$12</f>
        <v>21126</v>
      </c>
      <c r="M4" s="13">
        <f>'Czech Republic'!M$12</f>
        <v>24127</v>
      </c>
      <c r="N4" s="13">
        <f>'Czech Republic'!N$12</f>
        <v>35546</v>
      </c>
      <c r="O4" s="13">
        <f>'Czech Republic'!O$12</f>
        <v>41333</v>
      </c>
      <c r="P4" s="13">
        <f>'Czech Republic'!P$12</f>
        <v>23761</v>
      </c>
      <c r="Q4" s="49">
        <f>'Czech Republic'!Q$12</f>
        <v>32562</v>
      </c>
      <c r="S4" s="3"/>
      <c r="U4" s="1"/>
      <c r="V4" s="1"/>
    </row>
    <row r="5" spans="1:22" ht="12.75">
      <c r="A5" s="27" t="s">
        <v>40</v>
      </c>
      <c r="B5" s="35">
        <f t="shared" si="0"/>
        <v>1.0389764446703948</v>
      </c>
      <c r="C5" s="67">
        <f>E5-'[1]EU - country'!E5</f>
        <v>-2764</v>
      </c>
      <c r="D5" s="13">
        <f>F5-'[1]EU - country'!F5</f>
        <v>-1979</v>
      </c>
      <c r="E5" s="149">
        <f>Denmark!E$19</f>
        <v>12032</v>
      </c>
      <c r="F5" s="13">
        <f>Denmark!F$19</f>
        <v>5901</v>
      </c>
      <c r="G5" s="13">
        <f>Denmark!G$19</f>
        <v>10581</v>
      </c>
      <c r="H5" s="13">
        <f>Denmark!H$19</f>
        <v>9889</v>
      </c>
      <c r="I5" s="13">
        <f>Denmark!I$19</f>
        <v>8319</v>
      </c>
      <c r="J5" s="13">
        <f>Denmark!J$19</f>
        <v>8468</v>
      </c>
      <c r="K5" s="13">
        <f>Denmark!K$19</f>
        <v>6041</v>
      </c>
      <c r="L5" s="13">
        <f>Denmark!L$19</f>
        <v>6712</v>
      </c>
      <c r="M5" s="13">
        <f>Denmark!M$19</f>
        <v>5948</v>
      </c>
      <c r="N5" s="13">
        <f>Denmark!N$19</f>
        <v>7965</v>
      </c>
      <c r="O5" s="13">
        <f>Denmark!O$19</f>
        <v>9656</v>
      </c>
      <c r="P5" s="13">
        <f>Denmark!P$19</f>
        <v>6700</v>
      </c>
      <c r="Q5" s="49">
        <f>Denmark!Q$19</f>
        <v>4635</v>
      </c>
      <c r="S5" s="3"/>
      <c r="U5" s="1"/>
      <c r="V5" s="1"/>
    </row>
    <row r="6" spans="1:22" ht="14.25" customHeight="1">
      <c r="A6" s="57" t="s">
        <v>133</v>
      </c>
      <c r="B6" s="35">
        <f t="shared" si="0"/>
        <v>0.008102639322099795</v>
      </c>
      <c r="C6" s="67">
        <f>E6-'[1]EU - country'!E6</f>
        <v>-100094</v>
      </c>
      <c r="D6" s="13">
        <f>F6-'[1]EU - country'!F6</f>
        <v>-68759</v>
      </c>
      <c r="E6" s="149">
        <f>France!E$26</f>
        <v>570450</v>
      </c>
      <c r="F6" s="13">
        <f>France!F$26</f>
        <v>565865</v>
      </c>
      <c r="G6" s="95">
        <f>France!G$26</f>
        <v>533235</v>
      </c>
      <c r="H6" s="95">
        <f>France!H$26</f>
        <v>568112</v>
      </c>
      <c r="I6" s="95">
        <f>France!I$26</f>
        <v>519220</v>
      </c>
      <c r="J6" s="95">
        <f>France!J$26</f>
        <v>621666</v>
      </c>
      <c r="K6" s="95">
        <f>France!K$26</f>
        <v>358361</v>
      </c>
      <c r="L6" s="95">
        <f>France!L$26</f>
        <v>586418</v>
      </c>
      <c r="M6" s="95">
        <f>France!M$26</f>
        <v>554187</v>
      </c>
      <c r="N6" s="95">
        <f>France!N$26</f>
        <v>601593</v>
      </c>
      <c r="O6" s="95">
        <f>France!O$26</f>
        <v>405285</v>
      </c>
      <c r="P6" s="152"/>
      <c r="Q6" s="153"/>
      <c r="S6" s="3"/>
      <c r="U6" s="1"/>
      <c r="V6" s="1"/>
    </row>
    <row r="7" spans="1:22" ht="12.75">
      <c r="A7" s="27" t="s">
        <v>28</v>
      </c>
      <c r="B7" s="35">
        <f t="shared" si="0"/>
        <v>0.9087796780215859</v>
      </c>
      <c r="C7" s="67">
        <f>E7-'[1]EU - country'!E7</f>
        <v>-44591</v>
      </c>
      <c r="D7" s="13">
        <f>F7-'[1]EU - country'!F7</f>
        <v>-32401</v>
      </c>
      <c r="E7" s="149">
        <f>Germany!E$21</f>
        <v>369095</v>
      </c>
      <c r="F7" s="13">
        <f>Germany!F$21</f>
        <v>193367</v>
      </c>
      <c r="G7" s="13">
        <f>Germany!G$21</f>
        <v>353706</v>
      </c>
      <c r="H7" s="13">
        <f>Germany!H$21</f>
        <v>340177</v>
      </c>
      <c r="I7" s="13">
        <f>Germany!I$21</f>
        <v>370603</v>
      </c>
      <c r="J7" s="13">
        <f>Germany!J$21</f>
        <v>274480</v>
      </c>
      <c r="K7" s="13">
        <f>Germany!K$21</f>
        <v>330803</v>
      </c>
      <c r="L7" s="13">
        <f>Germany!L$21</f>
        <v>343341</v>
      </c>
      <c r="M7" s="13">
        <f>Germany!M$21</f>
        <v>271530</v>
      </c>
      <c r="N7" s="13">
        <f>Germany!N$21</f>
        <v>361546</v>
      </c>
      <c r="O7" s="13">
        <f>Germany!O$21</f>
        <v>313748</v>
      </c>
      <c r="P7" s="13">
        <f>Germany!P$21</f>
        <v>296178</v>
      </c>
      <c r="Q7" s="49">
        <f>Germany!Q$21</f>
        <v>285797</v>
      </c>
      <c r="S7" s="3"/>
      <c r="U7" s="1"/>
      <c r="V7" s="1"/>
    </row>
    <row r="8" spans="1:22" ht="12.75">
      <c r="A8" s="27" t="s">
        <v>16</v>
      </c>
      <c r="B8" s="35">
        <f t="shared" si="0"/>
        <v>0.5590600826019198</v>
      </c>
      <c r="C8" s="67">
        <f>E8-'[1]EU - country'!E8</f>
        <v>-151509.56999999983</v>
      </c>
      <c r="D8" s="13">
        <f>F8-'[1]EU - country'!F8</f>
        <v>-148178.4100172734</v>
      </c>
      <c r="E8" s="149">
        <f>Italy!E$20</f>
        <v>1339732.4300000002</v>
      </c>
      <c r="F8" s="13">
        <f>Italy!F$20</f>
        <v>859320.5899827266</v>
      </c>
      <c r="G8" s="13">
        <f>Italy!G$20</f>
        <v>1343896.4049999998</v>
      </c>
      <c r="H8" s="13">
        <f>Italy!H$20</f>
        <v>1313930.4999999998</v>
      </c>
      <c r="I8" s="13">
        <f>Italy!I$20</f>
        <v>1403310</v>
      </c>
      <c r="J8" s="13">
        <f>Italy!J$20</f>
        <v>1221801</v>
      </c>
      <c r="K8" s="13">
        <f>Italy!K$20</f>
        <v>1053550</v>
      </c>
      <c r="L8" s="13">
        <f>Italy!L$20</f>
        <v>1252137</v>
      </c>
      <c r="M8" s="13">
        <f>Italy!M$20</f>
        <v>1261740</v>
      </c>
      <c r="N8" s="13">
        <f>Italy!N$20</f>
        <v>1274698</v>
      </c>
      <c r="O8" s="13">
        <f>Italy!O$20</f>
        <v>1229382</v>
      </c>
      <c r="P8" s="13">
        <f>Italy!P$20</f>
        <v>1137898</v>
      </c>
      <c r="Q8" s="49">
        <f>Italy!Q$20</f>
        <v>1128925</v>
      </c>
      <c r="U8" s="1"/>
      <c r="V8" s="1"/>
    </row>
    <row r="9" spans="1:22" ht="12.75">
      <c r="A9" s="57" t="s">
        <v>32</v>
      </c>
      <c r="B9" s="35">
        <f t="shared" si="0"/>
        <v>0.7320799059929495</v>
      </c>
      <c r="C9" s="67">
        <f>E9-'[1]EU - country'!E9</f>
        <v>-231000</v>
      </c>
      <c r="D9" s="13">
        <f>F9-'[1]EU - country'!F9</f>
        <v>-188000</v>
      </c>
      <c r="E9" s="149">
        <f>Poland!E$18</f>
        <v>1474000</v>
      </c>
      <c r="F9" s="13">
        <f>Poland!F$18</f>
        <v>851000</v>
      </c>
      <c r="G9" s="95">
        <f>Poland!G$18</f>
        <v>1223000</v>
      </c>
      <c r="H9" s="95">
        <f>Poland!H$18</f>
        <v>1305500</v>
      </c>
      <c r="I9" s="95">
        <f>Poland!I$18</f>
        <v>1284500</v>
      </c>
      <c r="J9" s="95">
        <f>Poland!J$18</f>
        <v>1085000</v>
      </c>
      <c r="K9" s="95">
        <f>Poland!K$18</f>
        <v>1037000</v>
      </c>
      <c r="L9" s="95">
        <f>Poland!L$18</f>
        <v>1025000</v>
      </c>
      <c r="M9" s="95">
        <f>Poland!M$18</f>
        <v>415000</v>
      </c>
      <c r="N9" s="95">
        <f>Poland!N$18</f>
        <v>650000</v>
      </c>
      <c r="O9" s="95">
        <f>Poland!O$18</f>
        <v>580000</v>
      </c>
      <c r="P9" s="95">
        <f>Poland!P$18</f>
        <v>290000</v>
      </c>
      <c r="Q9" s="97">
        <f>Poland!Q$18</f>
        <v>390000</v>
      </c>
      <c r="S9" s="3"/>
      <c r="U9" s="1"/>
      <c r="V9" s="1"/>
    </row>
    <row r="10" spans="1:22" ht="12.75">
      <c r="A10" s="57" t="s">
        <v>152</v>
      </c>
      <c r="B10" s="35"/>
      <c r="C10" s="67">
        <f>E10-'[1]EU - country'!E10</f>
        <v>0</v>
      </c>
      <c r="D10" s="13">
        <f>F10-'[1]EU - country'!F10</f>
        <v>0</v>
      </c>
      <c r="E10" s="149">
        <f>Portugal!E$9</f>
        <v>0</v>
      </c>
      <c r="F10" s="13">
        <f>Portugal!F$9</f>
        <v>0</v>
      </c>
      <c r="G10" s="95">
        <f>Portugal!G$9</f>
        <v>0</v>
      </c>
      <c r="H10" s="95">
        <f>Portugal!H$9</f>
        <v>0</v>
      </c>
      <c r="I10" s="95">
        <f>Portugal!I$9</f>
        <v>0</v>
      </c>
      <c r="J10" s="95">
        <f>Portugal!J$9</f>
        <v>0</v>
      </c>
      <c r="K10" s="95">
        <f>Portugal!K$9</f>
        <v>0</v>
      </c>
      <c r="L10" s="95">
        <f>Portugal!L$9</f>
        <v>0</v>
      </c>
      <c r="M10" s="95">
        <f>Portugal!M$9</f>
        <v>0</v>
      </c>
      <c r="N10" s="95">
        <f>Portugal!N$9</f>
        <v>0</v>
      </c>
      <c r="O10" s="95">
        <f>Portugal!O$9</f>
        <v>0</v>
      </c>
      <c r="P10" s="95">
        <f>Portugal!P$9</f>
        <v>0</v>
      </c>
      <c r="Q10" s="97">
        <f>Portugal!Q$9</f>
        <v>0</v>
      </c>
      <c r="S10" s="3"/>
      <c r="U10" s="1"/>
      <c r="V10" s="1"/>
    </row>
    <row r="11" spans="1:22" ht="12.75">
      <c r="A11" s="27" t="s">
        <v>37</v>
      </c>
      <c r="B11" s="35">
        <f t="shared" si="0"/>
        <v>0.07909411842604841</v>
      </c>
      <c r="C11" s="67">
        <f>E11-'[1]EU - country'!E11</f>
        <v>-18696.980132777593</v>
      </c>
      <c r="D11" s="13">
        <f>F11-'[1]EU - country'!F11</f>
        <v>-22370</v>
      </c>
      <c r="E11" s="149">
        <f>Spain!E$8</f>
        <v>207199.0198672224</v>
      </c>
      <c r="F11" s="13">
        <f>Spain!F$8</f>
        <v>192012</v>
      </c>
      <c r="G11" s="13">
        <f>Spain!G$8</f>
        <v>218267.75274496165</v>
      </c>
      <c r="H11" s="13">
        <f>Spain!H$8</f>
        <v>176919.36942501672</v>
      </c>
      <c r="I11" s="13">
        <f>Spain!I$8</f>
        <v>198652.41238611238</v>
      </c>
      <c r="J11" s="13">
        <f>Spain!J$8</f>
        <v>175592.37703110915</v>
      </c>
      <c r="K11" s="13">
        <f>Spain!K$8</f>
        <v>120516.21950918784</v>
      </c>
      <c r="L11" s="13">
        <f>Spain!L$8</f>
        <v>184401</v>
      </c>
      <c r="M11" s="13">
        <f>Spain!M$8</f>
        <v>187831</v>
      </c>
      <c r="N11" s="13">
        <f>Spain!N$8</f>
        <v>152936</v>
      </c>
      <c r="O11" s="13">
        <f>Spain!O$8</f>
        <v>197457</v>
      </c>
      <c r="P11" s="13">
        <f>Spain!P$8</f>
        <v>173285</v>
      </c>
      <c r="Q11" s="49">
        <f>Spain!Q$8</f>
        <v>146625</v>
      </c>
      <c r="S11" s="3"/>
      <c r="U11" s="1"/>
      <c r="V11" s="1"/>
    </row>
    <row r="12" spans="1:22" ht="12.75">
      <c r="A12" s="27" t="s">
        <v>60</v>
      </c>
      <c r="B12" s="35">
        <f t="shared" si="0"/>
        <v>0.7310447843766424</v>
      </c>
      <c r="C12" s="67">
        <f>E12-'[1]EU - country'!E12</f>
        <v>-1157</v>
      </c>
      <c r="D12" s="13">
        <f>F12-'[1]EU - country'!F12</f>
        <v>-5231</v>
      </c>
      <c r="E12" s="149">
        <f>Switzerland!E$19</f>
        <v>62579</v>
      </c>
      <c r="F12" s="13">
        <f>Switzerland!F$19</f>
        <v>36151</v>
      </c>
      <c r="G12" s="13">
        <f>Switzerland!G$19</f>
        <v>56759</v>
      </c>
      <c r="H12" s="13">
        <f>Switzerland!H$19</f>
        <v>56273</v>
      </c>
      <c r="I12" s="13">
        <f>Switzerland!I$19</f>
        <v>56420</v>
      </c>
      <c r="J12" s="13">
        <f>Switzerland!J$19</f>
        <v>57782</v>
      </c>
      <c r="K12" s="13">
        <f>Switzerland!K$19</f>
        <v>55493</v>
      </c>
      <c r="L12" s="13">
        <f>Switzerland!L$19</f>
        <v>61882</v>
      </c>
      <c r="M12" s="13">
        <f>Switzerland!M$19</f>
        <v>57532</v>
      </c>
      <c r="N12" s="13">
        <f>Switzerland!N$19</f>
        <v>61623</v>
      </c>
      <c r="O12" s="13">
        <f>Switzerland!O$19</f>
        <v>54449</v>
      </c>
      <c r="P12" s="13">
        <f>Switzerland!P$19</f>
        <v>57493</v>
      </c>
      <c r="Q12" s="49">
        <f>Switzerland!Q$19</f>
        <v>56292</v>
      </c>
      <c r="S12" s="3"/>
      <c r="U12" s="1"/>
      <c r="V12" s="1"/>
    </row>
    <row r="13" spans="1:22" ht="12.75">
      <c r="A13" s="27" t="s">
        <v>1</v>
      </c>
      <c r="B13" s="35">
        <f t="shared" si="0"/>
        <v>0.2555125292028035</v>
      </c>
      <c r="C13" s="67">
        <f>E13-'[1]EU - country'!E13</f>
        <v>-23803.216000000015</v>
      </c>
      <c r="D13" s="13">
        <f>F13-'[1]EU - country'!F13</f>
        <v>-20677</v>
      </c>
      <c r="E13" s="149">
        <f>Netherlands!E$8</f>
        <v>156924</v>
      </c>
      <c r="F13" s="13">
        <f>Netherlands!F$8</f>
        <v>124988</v>
      </c>
      <c r="G13" s="13">
        <f>Netherlands!G$8</f>
        <v>186679</v>
      </c>
      <c r="H13" s="13">
        <f>Netherlands!H$8</f>
        <v>194015</v>
      </c>
      <c r="I13" s="13">
        <f>Netherlands!I$8</f>
        <v>202762</v>
      </c>
      <c r="J13" s="13">
        <f>Netherlands!J$8</f>
        <v>196615</v>
      </c>
      <c r="K13" s="13">
        <f>Netherlands!K$8</f>
        <v>176000</v>
      </c>
      <c r="L13" s="13">
        <f>Netherlands!L$8</f>
        <v>244000</v>
      </c>
      <c r="M13" s="13">
        <f>Netherlands!M$8</f>
        <v>179000</v>
      </c>
      <c r="N13" s="13">
        <f>Netherlands!N$8</f>
        <v>242000</v>
      </c>
      <c r="O13" s="13">
        <f>Netherlands!O$8</f>
        <v>215000</v>
      </c>
      <c r="P13" s="13">
        <f>Netherlands!P$8</f>
        <v>210000</v>
      </c>
      <c r="Q13" s="49">
        <f>Netherlands!Q$8</f>
        <v>195000</v>
      </c>
      <c r="U13" s="1"/>
      <c r="V13" s="1"/>
    </row>
    <row r="14" spans="1:22" ht="13.5" thickBot="1">
      <c r="A14" s="38" t="s">
        <v>171</v>
      </c>
      <c r="B14" s="36">
        <f t="shared" si="0"/>
        <v>0.2822413121564894</v>
      </c>
      <c r="C14" s="68">
        <f>E14-'[1]EU - country'!E14</f>
        <v>118515</v>
      </c>
      <c r="D14" s="15">
        <f>F14-'[1]EU - country'!F14</f>
        <v>-1635</v>
      </c>
      <c r="E14" s="170">
        <f>UK!E$12</f>
        <v>118515</v>
      </c>
      <c r="F14" s="15">
        <f>UK!F$12</f>
        <v>92428</v>
      </c>
      <c r="G14" s="15">
        <f>UK!G$12</f>
        <v>107363</v>
      </c>
      <c r="H14" s="15">
        <f>UK!H$12</f>
        <v>125500</v>
      </c>
      <c r="I14" s="15">
        <f>UK!I$12</f>
        <v>120500</v>
      </c>
      <c r="J14" s="15">
        <f>UK!J$12</f>
        <v>134900</v>
      </c>
      <c r="K14" s="15">
        <f>UK!K$12</f>
        <v>70000</v>
      </c>
      <c r="L14" s="15">
        <f>UK!L$12</f>
        <v>111000</v>
      </c>
      <c r="M14" s="15">
        <f>UK!M$12</f>
        <v>123500</v>
      </c>
      <c r="N14" s="15">
        <f>UK!N$12</f>
        <v>118800</v>
      </c>
      <c r="O14" s="15">
        <f>UK!O$12</f>
        <v>100000</v>
      </c>
      <c r="P14" s="15">
        <f>UK!P$12</f>
        <v>95500</v>
      </c>
      <c r="Q14" s="50">
        <f>UK!Q$12</f>
        <v>80000</v>
      </c>
      <c r="U14" s="1"/>
      <c r="V14" s="1"/>
    </row>
    <row r="15" spans="1:22" ht="13.5" thickBot="1">
      <c r="A15" s="40" t="s">
        <v>23</v>
      </c>
      <c r="B15" s="41">
        <f t="shared" si="0"/>
        <v>0.5172307620140204</v>
      </c>
      <c r="C15" s="69">
        <f>E15-'[1]EU - country'!E15</f>
        <v>-533268.626132777</v>
      </c>
      <c r="D15" s="42">
        <f>F15-'[1]EU - country'!F15</f>
        <v>-515372.4100172734</v>
      </c>
      <c r="E15" s="142">
        <f>SUM(E2:E14)</f>
        <v>4601699.589867223</v>
      </c>
      <c r="F15" s="42">
        <f aca="true" t="shared" si="1" ref="F15:K15">SUM(F2:F14)</f>
        <v>3032959.5899827266</v>
      </c>
      <c r="G15" s="42">
        <f t="shared" si="1"/>
        <v>4182989.807744961</v>
      </c>
      <c r="H15" s="42">
        <f t="shared" si="1"/>
        <v>4406485.969425017</v>
      </c>
      <c r="I15" s="42">
        <f t="shared" si="1"/>
        <v>4496172.412386112</v>
      </c>
      <c r="J15" s="42">
        <f t="shared" si="1"/>
        <v>4029763.237031109</v>
      </c>
      <c r="K15" s="42">
        <f t="shared" si="1"/>
        <v>3443228.2195091876</v>
      </c>
      <c r="L15" s="42">
        <f aca="true" t="shared" si="2" ref="L15:Q15">SUM(L2:L14)</f>
        <v>4099414.37</v>
      </c>
      <c r="M15" s="42">
        <f t="shared" si="2"/>
        <v>3321244</v>
      </c>
      <c r="N15" s="42">
        <f t="shared" si="2"/>
        <v>3785218</v>
      </c>
      <c r="O15" s="42">
        <f t="shared" si="2"/>
        <v>3446980</v>
      </c>
      <c r="P15" s="42">
        <f t="shared" si="2"/>
        <v>2578553</v>
      </c>
      <c r="Q15" s="51">
        <f t="shared" si="2"/>
        <v>2601807</v>
      </c>
      <c r="U15" s="1"/>
      <c r="V15" s="1"/>
    </row>
    <row r="16" spans="1:22" s="9" customFormat="1" ht="12.75">
      <c r="A16" s="12"/>
      <c r="B16" s="44"/>
      <c r="C16" s="44"/>
      <c r="D16" s="44"/>
      <c r="E16" s="44"/>
      <c r="F16" s="44"/>
      <c r="G16" s="44"/>
      <c r="H16" s="12"/>
      <c r="I16" s="12"/>
      <c r="J16" s="12"/>
      <c r="K16" s="12"/>
      <c r="L16" s="12"/>
      <c r="M16" s="12"/>
      <c r="N16" s="12"/>
      <c r="O16" s="12"/>
      <c r="P16" s="8"/>
      <c r="Q16" s="8"/>
      <c r="U16" s="8"/>
      <c r="V16" s="8"/>
    </row>
    <row r="17" spans="1:22" s="9" customFormat="1" ht="13.5" thickBot="1">
      <c r="A17" s="12"/>
      <c r="B17" s="44"/>
      <c r="C17" s="44"/>
      <c r="D17" s="44"/>
      <c r="E17" s="44"/>
      <c r="F17" s="44"/>
      <c r="G17" s="44"/>
      <c r="H17" s="12"/>
      <c r="I17" s="12"/>
      <c r="J17" s="12"/>
      <c r="K17" s="12"/>
      <c r="L17" s="12"/>
      <c r="M17" s="12"/>
      <c r="N17" s="12"/>
      <c r="O17" s="12"/>
      <c r="P17" s="8"/>
      <c r="Q17" s="8"/>
      <c r="U17" s="8"/>
      <c r="V17" s="8"/>
    </row>
    <row r="18" spans="1:22" s="16" customFormat="1" ht="13.5" thickBot="1">
      <c r="A18" s="31" t="s">
        <v>25</v>
      </c>
      <c r="B18" s="32" t="s">
        <v>177</v>
      </c>
      <c r="C18" s="66" t="s">
        <v>176</v>
      </c>
      <c r="D18" s="112" t="s">
        <v>173</v>
      </c>
      <c r="E18" s="171">
        <v>43466</v>
      </c>
      <c r="F18" s="33">
        <v>43101</v>
      </c>
      <c r="G18" s="33">
        <v>42736</v>
      </c>
      <c r="H18" s="115">
        <f>H1</f>
        <v>42370</v>
      </c>
      <c r="I18" s="115">
        <f>I1</f>
        <v>42005</v>
      </c>
      <c r="J18" s="115">
        <v>41640</v>
      </c>
      <c r="K18" s="115">
        <v>41275</v>
      </c>
      <c r="L18" s="115">
        <v>40909</v>
      </c>
      <c r="M18" s="115">
        <v>40544</v>
      </c>
      <c r="N18" s="115">
        <v>40179</v>
      </c>
      <c r="O18" s="115">
        <v>39814</v>
      </c>
      <c r="P18" s="33">
        <v>39448</v>
      </c>
      <c r="Q18" s="52">
        <v>39083</v>
      </c>
      <c r="R18" s="12"/>
      <c r="U18" s="48"/>
      <c r="V18" s="48"/>
    </row>
    <row r="19" spans="1:22" ht="12.75">
      <c r="A19" s="27" t="s">
        <v>0</v>
      </c>
      <c r="B19" s="35">
        <f aca="true" t="shared" si="3" ref="B19:B31">(E19-F19)/F19</f>
        <v>0.4052598591934964</v>
      </c>
      <c r="C19" s="67">
        <f>E19-'[1]EU - country'!E19</f>
        <v>-35951</v>
      </c>
      <c r="D19" s="13">
        <f>F19-'[1]EU - country'!F19</f>
        <v>-30546</v>
      </c>
      <c r="E19" s="149">
        <f>Belgium!E$19</f>
        <v>230939</v>
      </c>
      <c r="F19" s="13">
        <f>Belgium!F$19</f>
        <v>164339</v>
      </c>
      <c r="G19" s="13">
        <f>Belgium!G$19</f>
        <v>185009</v>
      </c>
      <c r="H19" s="13">
        <f>Belgium!H$19</f>
        <v>230054</v>
      </c>
      <c r="I19" s="13">
        <f>Belgium!I$19</f>
        <v>206833</v>
      </c>
      <c r="J19" s="13">
        <f>Belgium!J$19</f>
        <v>166559</v>
      </c>
      <c r="K19" s="13">
        <f>Belgium!K$19</f>
        <v>111437</v>
      </c>
      <c r="L19" s="13">
        <f>Belgium!L$19</f>
        <v>147400</v>
      </c>
      <c r="M19" s="13">
        <f>Belgium!M$19</f>
        <v>124100</v>
      </c>
      <c r="N19" s="13">
        <v>118400</v>
      </c>
      <c r="O19" s="13">
        <v>52897</v>
      </c>
      <c r="P19" s="13">
        <v>113100</v>
      </c>
      <c r="Q19" s="49">
        <v>128100</v>
      </c>
      <c r="U19" s="1"/>
      <c r="V19" s="1"/>
    </row>
    <row r="20" spans="1:22" ht="12.75">
      <c r="A20" s="27" t="s">
        <v>31</v>
      </c>
      <c r="B20" s="35">
        <f t="shared" si="3"/>
        <v>0.4431643625192012</v>
      </c>
      <c r="C20" s="67">
        <f>E20-'[1]EU - country'!E20</f>
        <v>-469</v>
      </c>
      <c r="D20" s="13">
        <f>F20-'[1]EU - country'!F20</f>
        <v>-417</v>
      </c>
      <c r="E20" s="149">
        <f>'Czech Republic'!E$21</f>
        <v>1879</v>
      </c>
      <c r="F20" s="13">
        <f>'Czech Republic'!F$21</f>
        <v>1302</v>
      </c>
      <c r="G20" s="13">
        <f>'Czech Republic'!G$21</f>
        <v>1197</v>
      </c>
      <c r="H20" s="13">
        <f>'Czech Republic'!H$21</f>
        <v>4020</v>
      </c>
      <c r="I20" s="13">
        <f>'Czech Republic'!I$21</f>
        <v>540</v>
      </c>
      <c r="J20" s="13">
        <f>'Czech Republic'!J$21</f>
        <v>2287</v>
      </c>
      <c r="K20" s="13">
        <f>'Czech Republic'!K$21</f>
        <v>687</v>
      </c>
      <c r="L20" s="13">
        <f>'Czech Republic'!L$21</f>
        <v>494</v>
      </c>
      <c r="M20" s="13">
        <f>'Czech Republic'!M$21</f>
        <v>219</v>
      </c>
      <c r="N20" s="13">
        <v>103</v>
      </c>
      <c r="O20" s="13">
        <v>0</v>
      </c>
      <c r="P20" s="13">
        <v>23</v>
      </c>
      <c r="Q20" s="49">
        <v>333</v>
      </c>
      <c r="U20" s="1"/>
      <c r="V20" s="1"/>
    </row>
    <row r="21" spans="1:22" ht="12.75">
      <c r="A21" s="27" t="s">
        <v>40</v>
      </c>
      <c r="B21" s="35"/>
      <c r="C21" s="67">
        <f>E21-'[1]EU - country'!E21</f>
        <v>-83</v>
      </c>
      <c r="D21" s="13">
        <f>F21-'[1]EU - country'!F21</f>
        <v>0</v>
      </c>
      <c r="E21" s="149">
        <f>Denmark!E$26</f>
        <v>543</v>
      </c>
      <c r="F21" s="13">
        <f>Denmark!F$26</f>
        <v>0</v>
      </c>
      <c r="G21" s="13">
        <f>Denmark!G$26</f>
        <v>76</v>
      </c>
      <c r="H21" s="13">
        <f>Denmark!H$26</f>
        <v>338</v>
      </c>
      <c r="I21" s="13">
        <f>Denmark!I$26</f>
        <v>15</v>
      </c>
      <c r="J21" s="13">
        <f>Denmark!J$26</f>
        <v>657</v>
      </c>
      <c r="K21" s="13">
        <f>Denmark!K$26</f>
        <v>106</v>
      </c>
      <c r="L21" s="13">
        <f>Denmark!L$26</f>
        <v>254</v>
      </c>
      <c r="M21" s="13">
        <f>Denmark!M$26</f>
        <v>0</v>
      </c>
      <c r="N21" s="13">
        <v>0</v>
      </c>
      <c r="O21" s="13">
        <v>0</v>
      </c>
      <c r="P21" s="13">
        <v>30</v>
      </c>
      <c r="Q21" s="49">
        <v>0</v>
      </c>
      <c r="S21" s="3"/>
      <c r="U21" s="1"/>
      <c r="V21" s="1"/>
    </row>
    <row r="22" spans="1:22" ht="13.5" customHeight="1">
      <c r="A22" s="57" t="s">
        <v>133</v>
      </c>
      <c r="B22" s="35">
        <f t="shared" si="3"/>
        <v>0.08084201097301534</v>
      </c>
      <c r="C22" s="67">
        <f>E22-'[1]EU - country'!E22</f>
        <v>-3516</v>
      </c>
      <c r="D22" s="13">
        <f>F22-'[1]EU - country'!F22</f>
        <v>-2881</v>
      </c>
      <c r="E22" s="149">
        <f>France!E$38</f>
        <v>9653</v>
      </c>
      <c r="F22" s="13">
        <f>France!F$38</f>
        <v>8931</v>
      </c>
      <c r="G22" s="13">
        <f>France!G$38</f>
        <v>8545</v>
      </c>
      <c r="H22" s="13">
        <f>France!H$38</f>
        <v>7177</v>
      </c>
      <c r="I22" s="13">
        <f>France!I$38</f>
        <v>8283</v>
      </c>
      <c r="J22" s="13">
        <f>France!J$38</f>
        <v>10497</v>
      </c>
      <c r="K22" s="13">
        <f>France!K$38</f>
        <v>4645</v>
      </c>
      <c r="L22" s="13">
        <f>France!L$38</f>
        <v>8177</v>
      </c>
      <c r="M22" s="13">
        <f>France!M$38</f>
        <v>0</v>
      </c>
      <c r="N22" s="13">
        <v>8809</v>
      </c>
      <c r="O22" s="13">
        <v>4093</v>
      </c>
      <c r="P22" s="152"/>
      <c r="Q22" s="153"/>
      <c r="U22" s="1"/>
      <c r="V22" s="1"/>
    </row>
    <row r="23" spans="1:22" ht="12.75">
      <c r="A23" s="27" t="s">
        <v>28</v>
      </c>
      <c r="B23" s="35">
        <f t="shared" si="3"/>
        <v>0.4635521546516311</v>
      </c>
      <c r="C23" s="67">
        <f>E23-'[1]EU - country'!E23</f>
        <v>-1406</v>
      </c>
      <c r="D23" s="13">
        <f>F23-'[1]EU - country'!F23</f>
        <v>-738</v>
      </c>
      <c r="E23" s="149">
        <f>Germany!E$26</f>
        <v>3634</v>
      </c>
      <c r="F23" s="13">
        <f>Germany!F$26</f>
        <v>2483</v>
      </c>
      <c r="G23" s="95">
        <f>Germany!G$26</f>
        <v>1744</v>
      </c>
      <c r="H23" s="13">
        <f>Germany!H$26</f>
        <v>3912</v>
      </c>
      <c r="I23" s="13">
        <f>Germany!I$26</f>
        <v>2382</v>
      </c>
      <c r="J23" s="13">
        <f>Germany!J$26</f>
        <v>3393</v>
      </c>
      <c r="K23" s="13">
        <f>Germany!K$26</f>
        <v>785</v>
      </c>
      <c r="L23" s="13">
        <f>Germany!L$26</f>
        <v>3009</v>
      </c>
      <c r="M23" s="13">
        <f>Germany!M$26</f>
        <v>1969</v>
      </c>
      <c r="N23" s="13">
        <v>2747</v>
      </c>
      <c r="O23" s="13">
        <v>914</v>
      </c>
      <c r="P23" s="13">
        <v>1174</v>
      </c>
      <c r="Q23" s="49">
        <v>1021</v>
      </c>
      <c r="S23" s="3"/>
      <c r="U23" s="1"/>
      <c r="V23" s="1"/>
    </row>
    <row r="24" spans="1:22" ht="12.75">
      <c r="A24" s="27" t="s">
        <v>16</v>
      </c>
      <c r="B24" s="35">
        <f t="shared" si="3"/>
        <v>-0.11616244782627473</v>
      </c>
      <c r="C24" s="67">
        <f>E24-'[1]EU - country'!E24</f>
        <v>-47486.396507295896</v>
      </c>
      <c r="D24" s="13">
        <f>F24-'[1]EU - country'!F24</f>
        <v>-50326.86395501561</v>
      </c>
      <c r="E24" s="149">
        <f>Italy!E$29</f>
        <v>208295</v>
      </c>
      <c r="F24" s="13">
        <f>Italy!F$29</f>
        <v>235671.1360449844</v>
      </c>
      <c r="G24" s="13">
        <f>Italy!G$29</f>
        <v>201065.46225391194</v>
      </c>
      <c r="H24" s="13">
        <f>Italy!H$29</f>
        <v>245410.14403144395</v>
      </c>
      <c r="I24" s="13">
        <f>Italy!I$29</f>
        <v>243468.87426205855</v>
      </c>
      <c r="J24" s="13">
        <f>Italy!J$29</f>
        <v>325176.99659352744</v>
      </c>
      <c r="K24" s="13">
        <f>Italy!K$29</f>
        <v>217640.3372075592</v>
      </c>
      <c r="L24" s="13">
        <f>Italy!L$29</f>
        <v>364823</v>
      </c>
      <c r="M24" s="13">
        <f>Italy!M$29</f>
        <v>163043.59526534</v>
      </c>
      <c r="N24" s="13">
        <v>233779</v>
      </c>
      <c r="O24" s="13">
        <v>180706</v>
      </c>
      <c r="P24" s="13">
        <v>198892</v>
      </c>
      <c r="Q24" s="49">
        <v>238514</v>
      </c>
      <c r="S24" s="3"/>
      <c r="U24" s="1"/>
      <c r="V24" s="1"/>
    </row>
    <row r="25" spans="1:22" ht="12.75">
      <c r="A25" s="57" t="s">
        <v>32</v>
      </c>
      <c r="B25" s="35">
        <f t="shared" si="3"/>
        <v>2.8333333333333335</v>
      </c>
      <c r="C25" s="67">
        <f>E25-'[1]EU - country'!E25</f>
        <v>-14000</v>
      </c>
      <c r="D25" s="13">
        <f>F25-'[1]EU - country'!F25</f>
        <v>-7000</v>
      </c>
      <c r="E25" s="149">
        <f>Poland!E$25</f>
        <v>23000</v>
      </c>
      <c r="F25" s="13">
        <f>Poland!F$25</f>
        <v>6000</v>
      </c>
      <c r="G25" s="95">
        <f>Poland!G$25</f>
        <v>7000</v>
      </c>
      <c r="H25" s="95">
        <f>Poland!H$25</f>
        <v>11500</v>
      </c>
      <c r="I25" s="95">
        <f>Poland!I$25</f>
        <v>4000</v>
      </c>
      <c r="J25" s="95">
        <f>Poland!J$25</f>
        <v>24000</v>
      </c>
      <c r="K25" s="95">
        <f>Poland!K$25</f>
        <v>7000</v>
      </c>
      <c r="L25" s="95">
        <f>Poland!L$25</f>
        <v>19000</v>
      </c>
      <c r="M25" s="95">
        <f>Poland!M$25</f>
        <v>15000</v>
      </c>
      <c r="N25" s="95">
        <v>35000</v>
      </c>
      <c r="O25" s="95">
        <v>22000</v>
      </c>
      <c r="P25" s="95">
        <v>10000</v>
      </c>
      <c r="Q25" s="97">
        <v>26000</v>
      </c>
      <c r="S25" s="3"/>
      <c r="U25" s="1"/>
      <c r="V25" s="1"/>
    </row>
    <row r="26" spans="1:22" ht="12.75">
      <c r="A26" s="57" t="s">
        <v>166</v>
      </c>
      <c r="B26" s="35">
        <f t="shared" si="3"/>
        <v>0.06325288562434418</v>
      </c>
      <c r="C26" s="67">
        <f>E26-'[1]EU - country'!E26</f>
        <v>75996</v>
      </c>
      <c r="D26" s="13">
        <f>F26-'[1]EU - country'!F26</f>
        <v>71475</v>
      </c>
      <c r="E26" s="149">
        <f>Portugal!E$14</f>
        <v>75996</v>
      </c>
      <c r="F26" s="13">
        <f>Portugal!F$14</f>
        <v>71475</v>
      </c>
      <c r="G26" s="95">
        <f>Portugal!G$14</f>
        <v>59851</v>
      </c>
      <c r="H26" s="95">
        <f>Portugal!H$14</f>
        <v>47466</v>
      </c>
      <c r="I26" s="95">
        <f>Portugal!I$14</f>
        <v>80378</v>
      </c>
      <c r="J26" s="95">
        <f>Portugal!J$14</f>
        <v>83498</v>
      </c>
      <c r="K26" s="95">
        <f>Portugal!K$14</f>
        <v>31792</v>
      </c>
      <c r="L26" s="95">
        <f>Portugal!L$14</f>
        <v>70946</v>
      </c>
      <c r="M26" s="95">
        <f>Portugal!M$14</f>
        <v>44175</v>
      </c>
      <c r="N26" s="95"/>
      <c r="O26" s="95"/>
      <c r="P26" s="95"/>
      <c r="Q26" s="97"/>
      <c r="S26" s="3"/>
      <c r="U26" s="1"/>
      <c r="V26" s="1"/>
    </row>
    <row r="27" spans="1:22" ht="12.75">
      <c r="A27" s="27" t="s">
        <v>37</v>
      </c>
      <c r="B27" s="35">
        <f t="shared" si="3"/>
        <v>-0.12029394860203457</v>
      </c>
      <c r="C27" s="67">
        <f>E27-'[1]EU - country'!E27</f>
        <v>-5888.082888727848</v>
      </c>
      <c r="D27" s="13">
        <f>F27-'[1]EU - country'!F27</f>
        <v>-11449</v>
      </c>
      <c r="E27" s="149">
        <f>Spain!E$17</f>
        <v>66087.91711127215</v>
      </c>
      <c r="F27" s="13">
        <f>Spain!F$17</f>
        <v>75125</v>
      </c>
      <c r="G27" s="13">
        <f>Spain!G$17</f>
        <v>65822.27102651265</v>
      </c>
      <c r="H27" s="13">
        <f>Spain!H$17</f>
        <v>62151.48895873579</v>
      </c>
      <c r="I27" s="13">
        <f>Spain!I$17</f>
        <v>77556</v>
      </c>
      <c r="J27" s="13">
        <f>Spain!J$17</f>
        <v>96749.71549802781</v>
      </c>
      <c r="K27" s="13">
        <f>Spain!K$17</f>
        <v>56022.62117346007</v>
      </c>
      <c r="L27" s="13">
        <f>Spain!L$17</f>
        <v>109648</v>
      </c>
      <c r="M27" s="13">
        <f>Spain!M$17</f>
        <v>113785</v>
      </c>
      <c r="N27" s="13">
        <v>81111</v>
      </c>
      <c r="O27" s="13">
        <v>90503</v>
      </c>
      <c r="P27" s="13">
        <v>88096</v>
      </c>
      <c r="Q27" s="49">
        <v>104479</v>
      </c>
      <c r="S27" s="3"/>
      <c r="U27" s="1"/>
      <c r="V27" s="1"/>
    </row>
    <row r="28" spans="1:22" ht="12.75">
      <c r="A28" s="27" t="s">
        <v>60</v>
      </c>
      <c r="B28" s="35">
        <f t="shared" si="3"/>
        <v>9.595115681233933</v>
      </c>
      <c r="C28" s="67">
        <f>E28-'[1]EU - country'!E28</f>
        <v>-948</v>
      </c>
      <c r="D28" s="13">
        <f>F28-'[1]EU - country'!F28</f>
        <v>-1350</v>
      </c>
      <c r="E28" s="149">
        <f>Switzerland!E$28</f>
        <v>8243</v>
      </c>
      <c r="F28" s="13">
        <f>Switzerland!F$28</f>
        <v>778</v>
      </c>
      <c r="G28" s="13">
        <f>Switzerland!G$28</f>
        <v>5573</v>
      </c>
      <c r="H28" s="13">
        <f>Switzerland!H$28</f>
        <v>5834</v>
      </c>
      <c r="I28" s="13">
        <f>Switzerland!I$28</f>
        <v>7301</v>
      </c>
      <c r="J28" s="13">
        <f>Switzerland!J$28</f>
        <v>6151</v>
      </c>
      <c r="K28" s="13">
        <f>Switzerland!K$28</f>
        <v>4063</v>
      </c>
      <c r="L28" s="13">
        <f>Switzerland!L$28</f>
        <v>9446</v>
      </c>
      <c r="M28" s="13">
        <f>Switzerland!M$28</f>
        <v>3466</v>
      </c>
      <c r="N28" s="13">
        <v>9150</v>
      </c>
      <c r="O28" s="13">
        <v>1702</v>
      </c>
      <c r="P28" s="13">
        <v>9708</v>
      </c>
      <c r="Q28" s="49">
        <v>4801</v>
      </c>
      <c r="S28" s="3"/>
      <c r="U28" s="1"/>
      <c r="V28" s="1"/>
    </row>
    <row r="29" spans="1:22" ht="12.75">
      <c r="A29" s="27" t="s">
        <v>1</v>
      </c>
      <c r="B29" s="35">
        <f t="shared" si="3"/>
        <v>0.20628534145280555</v>
      </c>
      <c r="C29" s="67">
        <f>E29-'[1]EU - country'!E29</f>
        <v>-32756.813999999984</v>
      </c>
      <c r="D29" s="13">
        <f>F29-'[1]EU - country'!F29</f>
        <v>-22232</v>
      </c>
      <c r="E29" s="149">
        <f>Netherlands!E$15</f>
        <v>221860</v>
      </c>
      <c r="F29" s="13">
        <f>Netherlands!F$15</f>
        <v>183920</v>
      </c>
      <c r="G29" s="13">
        <f>Netherlands!G$15</f>
        <v>208256</v>
      </c>
      <c r="H29" s="13">
        <f>Netherlands!H$15</f>
        <v>201869</v>
      </c>
      <c r="I29" s="13">
        <f>Netherlands!I$15</f>
        <v>193961</v>
      </c>
      <c r="J29" s="13">
        <f>Netherlands!J$15</f>
        <v>194245</v>
      </c>
      <c r="K29" s="13">
        <f>Netherlands!K$15</f>
        <v>102000</v>
      </c>
      <c r="L29" s="13">
        <f>Netherlands!L$15</f>
        <v>163000</v>
      </c>
      <c r="M29" s="13">
        <f>Netherlands!M$15</f>
        <v>130000</v>
      </c>
      <c r="N29" s="13">
        <v>154000</v>
      </c>
      <c r="O29" s="13">
        <v>72000</v>
      </c>
      <c r="P29" s="13">
        <v>107000</v>
      </c>
      <c r="Q29" s="49">
        <v>100000</v>
      </c>
      <c r="U29" s="1"/>
      <c r="V29" s="1"/>
    </row>
    <row r="30" spans="1:22" ht="13.5" thickBot="1">
      <c r="A30" s="38" t="s">
        <v>171</v>
      </c>
      <c r="B30" s="36">
        <f t="shared" si="3"/>
        <v>0.008544891640866872</v>
      </c>
      <c r="C30" s="68">
        <f>E30-'[1]EU - country'!E30</f>
        <v>8144</v>
      </c>
      <c r="D30" s="15">
        <f>F30-'[1]EU - country'!F30</f>
        <v>-1999</v>
      </c>
      <c r="E30" s="170">
        <f>UK!E$19</f>
        <v>8144</v>
      </c>
      <c r="F30" s="15">
        <f>UK!F$19</f>
        <v>8075</v>
      </c>
      <c r="G30" s="15">
        <f>UK!G$19</f>
        <v>9430</v>
      </c>
      <c r="H30" s="15">
        <f>UK!H$19</f>
        <v>12100</v>
      </c>
      <c r="I30" s="15">
        <f>UK!I$19</f>
        <v>9000</v>
      </c>
      <c r="J30" s="15">
        <f>UK!J$19</f>
        <v>13500</v>
      </c>
      <c r="K30" s="15">
        <f>UK!K$19</f>
        <v>9000</v>
      </c>
      <c r="L30" s="15">
        <f>UK!L$19</f>
        <v>11000</v>
      </c>
      <c r="M30" s="15">
        <f>UK!M$19</f>
        <v>11000</v>
      </c>
      <c r="N30" s="15">
        <v>14900</v>
      </c>
      <c r="O30" s="15">
        <v>9500</v>
      </c>
      <c r="P30" s="15">
        <v>10500</v>
      </c>
      <c r="Q30" s="50">
        <v>8000</v>
      </c>
      <c r="S30" s="3"/>
      <c r="U30" s="1"/>
      <c r="V30" s="1"/>
    </row>
    <row r="31" spans="1:22" ht="13.5" thickBot="1">
      <c r="A31" s="40" t="s">
        <v>23</v>
      </c>
      <c r="B31" s="41">
        <f t="shared" si="3"/>
        <v>0.13213942122253447</v>
      </c>
      <c r="C31" s="69">
        <f>E31-'[1]EU - country'!E31</f>
        <v>-58364.2933960238</v>
      </c>
      <c r="D31" s="42">
        <f>F31-'[1]EU - country'!F31</f>
        <v>-57463.86395501555</v>
      </c>
      <c r="E31" s="142">
        <f>SUM(E19:E30)</f>
        <v>858273.9171112721</v>
      </c>
      <c r="F31" s="42">
        <f aca="true" t="shared" si="4" ref="F31:K31">SUM(F19:F30)</f>
        <v>758099.1360449845</v>
      </c>
      <c r="G31" s="42">
        <f t="shared" si="4"/>
        <v>753568.7332804246</v>
      </c>
      <c r="H31" s="42">
        <f t="shared" si="4"/>
        <v>831831.6329901798</v>
      </c>
      <c r="I31" s="42">
        <f t="shared" si="4"/>
        <v>833717.8742620585</v>
      </c>
      <c r="J31" s="42">
        <f t="shared" si="4"/>
        <v>926713.7120915554</v>
      </c>
      <c r="K31" s="42">
        <f t="shared" si="4"/>
        <v>545177.9583810193</v>
      </c>
      <c r="L31" s="42">
        <f aca="true" t="shared" si="5" ref="L31:Q31">SUM(L19:L30)</f>
        <v>907197</v>
      </c>
      <c r="M31" s="42">
        <f t="shared" si="5"/>
        <v>606757.5952653401</v>
      </c>
      <c r="N31" s="42">
        <f t="shared" si="5"/>
        <v>657999</v>
      </c>
      <c r="O31" s="42">
        <f t="shared" si="5"/>
        <v>434315</v>
      </c>
      <c r="P31" s="42">
        <f t="shared" si="5"/>
        <v>538523</v>
      </c>
      <c r="Q31" s="51">
        <f t="shared" si="5"/>
        <v>611248</v>
      </c>
      <c r="U31" s="1"/>
      <c r="V31" s="1"/>
    </row>
    <row r="32" spans="1:22" ht="12.75">
      <c r="A32" s="108" t="s">
        <v>169</v>
      </c>
      <c r="Q32" s="1"/>
      <c r="U32" s="1"/>
      <c r="V32" s="1"/>
    </row>
    <row r="33" spans="1:22" ht="12.75">
      <c r="A33" s="108" t="s">
        <v>172</v>
      </c>
      <c r="Q33" s="1"/>
      <c r="U33" s="1"/>
      <c r="V33" s="1"/>
    </row>
    <row r="34" spans="1:22" ht="12.75">
      <c r="A34" s="70"/>
      <c r="P34" s="1"/>
      <c r="Q34" s="1"/>
      <c r="U34" s="1"/>
      <c r="V34" s="1"/>
    </row>
    <row r="35" spans="1:22" ht="12.75">
      <c r="A35" s="9"/>
      <c r="B35" s="12"/>
      <c r="C35" s="12"/>
      <c r="G35" s="12"/>
      <c r="P35" s="1"/>
      <c r="Q35" s="1"/>
      <c r="U35" s="1"/>
      <c r="V35" s="1"/>
    </row>
    <row r="36" spans="1:18" ht="12.75">
      <c r="A36" s="99"/>
      <c r="B36" s="12"/>
      <c r="C36" s="12"/>
      <c r="G36" s="12"/>
      <c r="P36" s="12"/>
      <c r="Q36" s="12"/>
      <c r="R36" s="12"/>
    </row>
    <row r="37" spans="1:18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9"/>
      <c r="R37" s="12"/>
    </row>
    <row r="38" spans="1:18" ht="12.75">
      <c r="A38" s="12"/>
      <c r="B38" s="12"/>
      <c r="C38" s="12"/>
      <c r="G38" s="12"/>
      <c r="P38" s="13"/>
      <c r="Q38" s="13"/>
      <c r="R38" s="12"/>
    </row>
    <row r="39" spans="1:19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23"/>
      <c r="R39" s="11"/>
      <c r="S39" s="9"/>
    </row>
    <row r="40" spans="1:19" ht="12.75">
      <c r="A40" s="12"/>
      <c r="B40" s="12"/>
      <c r="C40" s="12"/>
      <c r="G40" s="12"/>
      <c r="P40" s="20"/>
      <c r="Q40" s="20"/>
      <c r="R40" s="13"/>
      <c r="S40" s="9"/>
    </row>
    <row r="41" spans="1:19" ht="12.75">
      <c r="A41" s="12"/>
      <c r="B41" s="12"/>
      <c r="C41" s="12"/>
      <c r="G41" s="12"/>
      <c r="P41" s="20"/>
      <c r="Q41" s="20"/>
      <c r="R41" s="13"/>
      <c r="S41" s="9"/>
    </row>
    <row r="42" spans="1:19" ht="12.75">
      <c r="A42" s="12"/>
      <c r="B42" s="12"/>
      <c r="C42" s="12"/>
      <c r="G42" s="12"/>
      <c r="P42" s="20"/>
      <c r="Q42" s="20"/>
      <c r="R42" s="13"/>
      <c r="S42" s="9"/>
    </row>
    <row r="43" spans="1:19" ht="12.75">
      <c r="A43" s="12"/>
      <c r="B43" s="12"/>
      <c r="C43" s="12"/>
      <c r="G43" s="12"/>
      <c r="P43" s="20"/>
      <c r="Q43" s="20"/>
      <c r="R43" s="13"/>
      <c r="S43" s="9"/>
    </row>
    <row r="44" spans="1:19" ht="12.75">
      <c r="A44" s="12"/>
      <c r="B44" s="12"/>
      <c r="C44" s="12"/>
      <c r="G44" s="12"/>
      <c r="P44" s="20"/>
      <c r="Q44" s="20"/>
      <c r="R44" s="13"/>
      <c r="S44" s="9"/>
    </row>
    <row r="45" spans="1:19" ht="12.75">
      <c r="A45" s="12"/>
      <c r="B45" s="12"/>
      <c r="C45" s="12"/>
      <c r="G45" s="12"/>
      <c r="P45" s="20"/>
      <c r="Q45" s="20"/>
      <c r="R45" s="13"/>
      <c r="S45" s="9"/>
    </row>
    <row r="46" spans="1:19" ht="12.75">
      <c r="A46" s="12"/>
      <c r="B46" s="12"/>
      <c r="C46" s="12"/>
      <c r="G46" s="12"/>
      <c r="P46" s="20"/>
      <c r="Q46" s="20"/>
      <c r="R46" s="13"/>
      <c r="S46" s="9"/>
    </row>
    <row r="47" spans="1:19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0"/>
      <c r="Q47" s="20"/>
      <c r="R47" s="13"/>
      <c r="S47" s="9"/>
    </row>
    <row r="48" spans="1:19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0"/>
      <c r="Q48" s="20"/>
      <c r="R48" s="13"/>
      <c r="S48" s="9"/>
    </row>
    <row r="49" spans="1:19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0"/>
      <c r="Q49" s="20"/>
      <c r="R49" s="13"/>
      <c r="S49" s="9"/>
    </row>
    <row r="50" spans="1:19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0"/>
      <c r="Q50" s="20"/>
      <c r="R50" s="13"/>
      <c r="S50" s="9"/>
    </row>
    <row r="51" spans="1:19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0"/>
      <c r="Q51" s="20"/>
      <c r="R51" s="13"/>
      <c r="S51" s="9"/>
    </row>
    <row r="52" spans="1:19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0"/>
      <c r="Q52" s="20"/>
      <c r="R52" s="13"/>
      <c r="S52" s="9"/>
    </row>
    <row r="53" spans="1:19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0"/>
      <c r="Q53" s="20"/>
      <c r="R53" s="13"/>
      <c r="S53" s="9"/>
    </row>
    <row r="54" spans="1:1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0"/>
      <c r="Q54" s="20"/>
      <c r="R54" s="13"/>
      <c r="S54" s="9"/>
    </row>
    <row r="55" spans="1:19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0"/>
      <c r="Q55" s="20"/>
      <c r="R55" s="14"/>
      <c r="S55" s="9"/>
    </row>
    <row r="56" spans="1:18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0"/>
      <c r="Q56" s="20"/>
      <c r="R56" s="12"/>
    </row>
    <row r="57" spans="1:19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0"/>
      <c r="Q57" s="20"/>
      <c r="R57" s="13"/>
      <c r="S57" s="9"/>
    </row>
    <row r="58" spans="1:19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0"/>
      <c r="Q58" s="20"/>
      <c r="R58" s="13"/>
      <c r="S58" s="9"/>
    </row>
    <row r="59" spans="1:19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0"/>
      <c r="Q59" s="20"/>
      <c r="R59" s="13"/>
      <c r="S59" s="9"/>
    </row>
    <row r="60" spans="1:19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0"/>
      <c r="Q60" s="20"/>
      <c r="R60" s="13"/>
      <c r="S60" s="9"/>
    </row>
    <row r="61" spans="1:19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0"/>
      <c r="Q61" s="20"/>
      <c r="R61" s="13"/>
      <c r="S61" s="9"/>
    </row>
    <row r="62" spans="1:19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0"/>
      <c r="Q62" s="20"/>
      <c r="R62" s="14"/>
      <c r="S62" s="9"/>
    </row>
    <row r="63" spans="1:18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"/>
      <c r="Q63" s="21"/>
      <c r="R63" s="12"/>
    </row>
    <row r="64" spans="1:18" ht="12.75">
      <c r="A64" s="12"/>
      <c r="B64" s="12"/>
      <c r="C64" s="12"/>
      <c r="G64" s="12"/>
      <c r="P64" s="13"/>
      <c r="Q64" s="13"/>
      <c r="R64" s="12"/>
    </row>
    <row r="65" spans="1:18" ht="12.75">
      <c r="A65" s="12"/>
      <c r="B65" s="12"/>
      <c r="C65" s="12"/>
      <c r="G65" s="12"/>
      <c r="P65" s="13"/>
      <c r="Q65" s="13"/>
      <c r="R65" s="12"/>
    </row>
    <row r="66" spans="1:18" ht="12.75">
      <c r="A66" s="12"/>
      <c r="B66" s="12"/>
      <c r="C66" s="12"/>
      <c r="G66" s="12"/>
      <c r="P66" s="13"/>
      <c r="Q66" s="13"/>
      <c r="R66" s="12"/>
    </row>
    <row r="67" spans="1:18" ht="12.75">
      <c r="A67" s="12"/>
      <c r="B67" s="12"/>
      <c r="C67" s="12"/>
      <c r="G67" s="12"/>
      <c r="P67" s="17"/>
      <c r="Q67" s="17"/>
      <c r="R67" s="12"/>
    </row>
    <row r="68" spans="1:18" ht="12.75">
      <c r="A68" s="12"/>
      <c r="B68" s="12"/>
      <c r="C68" s="12"/>
      <c r="G68" s="12"/>
      <c r="P68" s="17"/>
      <c r="Q68" s="17"/>
      <c r="R68" s="12"/>
    </row>
    <row r="69" spans="1:18" ht="12.75">
      <c r="A69" s="12"/>
      <c r="B69" s="12"/>
      <c r="C69" s="12"/>
      <c r="G69" s="12"/>
      <c r="P69" s="13"/>
      <c r="Q69" s="17"/>
      <c r="R69" s="12"/>
    </row>
    <row r="70" spans="1:18" ht="12.75">
      <c r="A70" s="12"/>
      <c r="B70" s="12"/>
      <c r="C70" s="12"/>
      <c r="G70" s="12"/>
      <c r="P70" s="13"/>
      <c r="Q70" s="13"/>
      <c r="R70" s="12"/>
    </row>
    <row r="71" spans="1:18" ht="12.75">
      <c r="A71" s="12"/>
      <c r="B71" s="12"/>
      <c r="C71" s="12"/>
      <c r="G71" s="12"/>
      <c r="P71" s="13"/>
      <c r="Q71" s="13"/>
      <c r="R71" s="12"/>
    </row>
    <row r="72" spans="1:18" ht="12.75">
      <c r="A72" s="12"/>
      <c r="B72" s="12"/>
      <c r="C72" s="12"/>
      <c r="G72" s="12"/>
      <c r="P72" s="13"/>
      <c r="Q72" s="13"/>
      <c r="R72" s="12"/>
    </row>
    <row r="73" spans="1:18" ht="12.75">
      <c r="A73" s="12"/>
      <c r="B73" s="12"/>
      <c r="C73" s="12"/>
      <c r="G73" s="12"/>
      <c r="P73" s="13"/>
      <c r="Q73" s="13"/>
      <c r="R73" s="12"/>
    </row>
    <row r="74" spans="1:18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4"/>
      <c r="Q74" s="14"/>
      <c r="R74" s="12"/>
    </row>
    <row r="75" spans="1:18" ht="12.75">
      <c r="A75" s="12"/>
      <c r="B75" s="12"/>
      <c r="C75" s="12"/>
      <c r="G75" s="12"/>
      <c r="P75" s="12"/>
      <c r="Q75" s="12"/>
      <c r="R75" s="12"/>
    </row>
    <row r="76" spans="1:18" ht="12.75">
      <c r="A76" s="12"/>
      <c r="B76" s="12"/>
      <c r="C76" s="12"/>
      <c r="G76" s="12"/>
      <c r="P76" s="12"/>
      <c r="Q76" s="12"/>
      <c r="R76" s="12"/>
    </row>
    <row r="77" spans="1:18" ht="12.75">
      <c r="A77" s="12"/>
      <c r="B77" s="12"/>
      <c r="C77" s="12"/>
      <c r="G77" s="12"/>
      <c r="P77" s="12"/>
      <c r="Q77" s="12"/>
      <c r="R77" s="12"/>
    </row>
    <row r="78" spans="1:18" ht="12.75">
      <c r="A78" s="12"/>
      <c r="B78" s="12"/>
      <c r="C78" s="12"/>
      <c r="G78" s="12"/>
      <c r="P78" s="12"/>
      <c r="Q78" s="12"/>
      <c r="R78" s="12"/>
    </row>
    <row r="79" spans="1:18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2"/>
      <c r="Q79" s="12"/>
      <c r="R79" s="12"/>
    </row>
    <row r="80" spans="1:18" ht="12.75">
      <c r="A80" s="12"/>
      <c r="B80" s="12"/>
      <c r="C80" s="12"/>
      <c r="G80" s="12"/>
      <c r="P80" s="12"/>
      <c r="Q80" s="12"/>
      <c r="R80" s="12"/>
    </row>
    <row r="81" spans="1:18" ht="12.75">
      <c r="A81" s="12"/>
      <c r="B81" s="12"/>
      <c r="C81" s="12"/>
      <c r="G81" s="12"/>
      <c r="P81" s="12"/>
      <c r="Q81" s="12"/>
      <c r="R81" s="1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7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bestFit="1" customWidth="1"/>
    <col min="4" max="4" width="11.57421875" style="9" customWidth="1"/>
    <col min="5" max="6" width="11.421875" style="9" customWidth="1"/>
    <col min="7" max="7" width="10.7109375" style="0" customWidth="1"/>
    <col min="8" max="14" width="10.7109375" style="9" customWidth="1"/>
  </cols>
  <sheetData>
    <row r="1" spans="1:14" ht="13.5" thickBot="1">
      <c r="A1" s="56" t="s">
        <v>91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52">
        <v>40179</v>
      </c>
    </row>
    <row r="2" spans="1:15" ht="12.75">
      <c r="A2" s="57" t="s">
        <v>20</v>
      </c>
      <c r="B2" s="64">
        <f>(E2-F2)/F2</f>
        <v>0.25</v>
      </c>
      <c r="C2" s="106">
        <f>E2-'[1]EU - variety'!E2</f>
        <v>-12500</v>
      </c>
      <c r="D2" s="95">
        <f>F2-'[1]EU - variety'!F2</f>
        <v>-8000</v>
      </c>
      <c r="E2" s="60">
        <f>Italy!E$2</f>
        <v>12500</v>
      </c>
      <c r="F2" s="95">
        <f>Italy!F$2</f>
        <v>10000</v>
      </c>
      <c r="G2" s="95">
        <f>Italy!G$2</f>
        <v>10000</v>
      </c>
      <c r="H2" s="95">
        <f>Italy!H$2</f>
        <v>10000</v>
      </c>
      <c r="I2" s="95">
        <f>Italy!I$2</f>
        <v>12268</v>
      </c>
      <c r="J2" s="95">
        <f>Italy!J$2</f>
        <v>0</v>
      </c>
      <c r="K2" s="95">
        <f>Italy!K$2</f>
        <v>10026.64763264335</v>
      </c>
      <c r="L2" s="95">
        <f>Italy!L$2</f>
        <v>10023.029633543058</v>
      </c>
      <c r="M2" s="95">
        <f>Italy!M$2</f>
        <v>10037.820628073821</v>
      </c>
      <c r="N2" s="97">
        <f>Italy!N$2</f>
        <v>10000</v>
      </c>
      <c r="O2" s="94"/>
    </row>
    <row r="3" spans="1:15" ht="12.75">
      <c r="A3" s="57" t="s">
        <v>4</v>
      </c>
      <c r="B3" s="64">
        <f aca="true" t="shared" si="0" ref="B3:B31">(E3-F3)/F3</f>
        <v>5.121015314804311</v>
      </c>
      <c r="C3" s="106">
        <f>E3-'[1]EU - variety'!E3</f>
        <v>-9096.490999999998</v>
      </c>
      <c r="D3" s="95">
        <f>F3-'[1]EU - variety'!F3</f>
        <v>-5450</v>
      </c>
      <c r="E3" s="60">
        <f>Austria!E$3+Belgium!E$2+Denmark!E$2+France!E$4+Germany!E$2+Switzerland!E$2+Netherlands!E$2+Poland!E$2</f>
        <v>21582.7</v>
      </c>
      <c r="F3" s="95">
        <f>Austria!F$3+Belgium!F$2+Denmark!F$2+France!F$4+Germany!F$2+Switzerland!F$2+Netherlands!F$2+Poland!F$2</f>
        <v>3526</v>
      </c>
      <c r="G3" s="95">
        <f>Austria!G$3+Belgium!G$2+Denmark!G$2+France!G$4+Germany!G$2+Switzerland!G$2+Netherlands!G$2+Poland!G$2</f>
        <v>19447</v>
      </c>
      <c r="H3" s="95">
        <f>Austria!H$3+Belgium!H$2+Denmark!H$2+France!H$4+Germany!H$2+Switzerland!H$2+Netherlands!H$2+Poland!H$2</f>
        <v>21287.17</v>
      </c>
      <c r="I3" s="95">
        <f>Austria!I$3+Belgium!I$2+Denmark!I$2+France!I$4+Germany!I$2+Switzerland!I$2+Netherlands!I$2+Poland!I$2</f>
        <v>27839</v>
      </c>
      <c r="J3" s="95">
        <f>Austria!J$3+Belgium!J$2+Denmark!J$2+France!J$4+Germany!J$2+Switzerland!J$2+Netherlands!J$2+Poland!J$2</f>
        <v>15349.79</v>
      </c>
      <c r="K3" s="95">
        <f>Austria!K$3+Belgium!K$2+Denmark!K$2+France!K$4+Germany!K$2+Switzerland!K$2+Netherlands!K$2+Poland!K$2</f>
        <v>13828</v>
      </c>
      <c r="L3" s="95">
        <f>Austria!L$3+Belgium!L$2+Denmark!L$2+France!L$4+Germany!L$2+Switzerland!L$2+Netherlands!L$2+Poland!L$2</f>
        <v>19323</v>
      </c>
      <c r="M3" s="95">
        <f>Austria!M$3+Belgium!M$2+Denmark!M$2+France!M$4+Germany!M$2+Switzerland!M$2+Netherlands!M$2+Poland!M$2</f>
        <v>14664</v>
      </c>
      <c r="N3" s="97">
        <f>Austria!N$3+Belgium!N$2+Denmark!N$2+France!N$4+Germany!N$2+Switzerland!N$2+Netherlands!N$2+Poland!N$2</f>
        <v>24900</v>
      </c>
      <c r="O3" s="3"/>
    </row>
    <row r="4" spans="1:14" ht="12.75">
      <c r="A4" s="57" t="s">
        <v>11</v>
      </c>
      <c r="B4" s="64">
        <f t="shared" si="0"/>
        <v>0.5284745833665216</v>
      </c>
      <c r="C4" s="106">
        <f>E4-'[1]EU - variety'!E4</f>
        <v>5516.169999999984</v>
      </c>
      <c r="D4" s="95">
        <f>F4-'[1]EU - variety'!F4</f>
        <v>-12409.190000000002</v>
      </c>
      <c r="E4" s="60">
        <f>Austria!E$4+France!E$5+Germany!E$3+Italy!E$3+Switzerland!E$3+UK!E$2+'Czech Republic'!E$2</f>
        <v>161382.16999999998</v>
      </c>
      <c r="F4" s="95">
        <f>Austria!F$4+France!F$5+Germany!F$3+Italy!F$3+Switzerland!F$3+UK!F$2+'Czech Republic'!F$2</f>
        <v>105583.81</v>
      </c>
      <c r="G4" s="95">
        <f>Austria!G$4+France!G$5+Germany!G$3+Italy!G$3+Switzerland!G$3+UK!G$2+'Czech Republic'!G$2</f>
        <v>156032.46000000002</v>
      </c>
      <c r="H4" s="95">
        <f>Austria!H$4+France!H$5+Germany!H$3+Italy!H$3+Switzerland!H$3+UK!H$2+'Czech Republic'!H$2</f>
        <v>174121.05</v>
      </c>
      <c r="I4" s="95">
        <f>Austria!I$4+France!I$5+Germany!I$3+Italy!I$3+Switzerland!I$3+UK!I$2+'Czech Republic'!I$2</f>
        <v>164154</v>
      </c>
      <c r="J4" s="95">
        <f>Austria!J$4+France!J$5+Germany!J$3+Italy!J$3+Switzerland!J$3+UK!J$2+'Czech Republic'!J$2</f>
        <v>170290.26</v>
      </c>
      <c r="K4" s="95">
        <f>Austria!K$4+France!K$5+Germany!K$3+Italy!K$3+Switzerland!K$3+UK!K$2+'Czech Republic'!K$2</f>
        <v>128013.04610992149</v>
      </c>
      <c r="L4" s="95">
        <f>Austria!L$4+France!L$5+Germany!L$3+Italy!L$3+Switzerland!L$3+UK!L$2+'Czech Republic'!L$2</f>
        <v>181358.4165774939</v>
      </c>
      <c r="M4" s="95">
        <f>Austria!M$4+France!M$5+Germany!M$3+Italy!M$3+Switzerland!M$3+UK!M$2+'Czech Republic'!M$2</f>
        <v>160005.18072277654</v>
      </c>
      <c r="N4" s="97">
        <f>Austria!N$4+France!N$5+Germany!N$3+Italy!N$3+Switzerland!N$3+UK!N$2+'Czech Republic'!N$2</f>
        <v>183739</v>
      </c>
    </row>
    <row r="5" spans="1:14" ht="12.75">
      <c r="A5" s="57" t="s">
        <v>36</v>
      </c>
      <c r="B5" s="64">
        <f t="shared" si="0"/>
        <v>0.04544096409541357</v>
      </c>
      <c r="C5" s="106">
        <f>E5-'[1]EU - variety'!E5</f>
        <v>41987</v>
      </c>
      <c r="D5" s="95">
        <f>F5-'[1]EU - variety'!F5</f>
        <v>-9338</v>
      </c>
      <c r="E5" s="60">
        <f>UK!E$3</f>
        <v>41987</v>
      </c>
      <c r="F5" s="95">
        <f>UK!F$3</f>
        <v>40162</v>
      </c>
      <c r="G5" s="95">
        <f>UK!G$3</f>
        <v>41420</v>
      </c>
      <c r="H5" s="95">
        <f>UK!H$3</f>
        <v>37000</v>
      </c>
      <c r="I5" s="95">
        <f>UK!I$3</f>
        <v>53000</v>
      </c>
      <c r="J5" s="95">
        <f>UK!J$3</f>
        <v>49000</v>
      </c>
      <c r="K5" s="95">
        <f>UK!K$3</f>
        <v>24000</v>
      </c>
      <c r="L5" s="95">
        <f>UK!L$3</f>
        <v>53000</v>
      </c>
      <c r="M5" s="95">
        <f>UK!M$3</f>
        <v>62000</v>
      </c>
      <c r="N5" s="97">
        <f>UK!N$3</f>
        <v>54000</v>
      </c>
    </row>
    <row r="6" spans="1:14" ht="12.75">
      <c r="A6" s="57" t="s">
        <v>29</v>
      </c>
      <c r="B6" s="64"/>
      <c r="C6" s="106">
        <f>E6-'[1]EU - variety'!E6</f>
        <v>2285</v>
      </c>
      <c r="D6" s="95">
        <f>F6-'[1]EU - variety'!F6</f>
        <v>0</v>
      </c>
      <c r="E6" s="60">
        <f>France!E6+UK!E4</f>
        <v>2285</v>
      </c>
      <c r="F6" s="95">
        <f>France!F6+UK!F4</f>
        <v>0</v>
      </c>
      <c r="G6" s="95">
        <f>France!G6+UK!G4</f>
        <v>0</v>
      </c>
      <c r="H6" s="95">
        <f>France!H6+UK!H4</f>
        <v>1600</v>
      </c>
      <c r="I6" s="95">
        <f>France!I6+UK!I4</f>
        <v>0</v>
      </c>
      <c r="J6" s="95">
        <f>France!J6+UK!J4</f>
        <v>1700</v>
      </c>
      <c r="K6" s="95">
        <f>France!K6+UK!K4</f>
        <v>0</v>
      </c>
      <c r="L6" s="95">
        <f>France!L6+UK!L4</f>
        <v>1048</v>
      </c>
      <c r="M6" s="95">
        <f>France!M6+UK!M4</f>
        <v>3311</v>
      </c>
      <c r="N6" s="97">
        <f>France!N6+UK!N4</f>
        <v>4769</v>
      </c>
    </row>
    <row r="7" spans="1:14" ht="12.75">
      <c r="A7" s="57" t="s">
        <v>33</v>
      </c>
      <c r="B7" s="64"/>
      <c r="C7" s="106">
        <f>E7-'[1]EU - variety'!E7</f>
        <v>0</v>
      </c>
      <c r="D7" s="95">
        <f>F7-'[1]EU - variety'!F7</f>
        <v>0</v>
      </c>
      <c r="E7" s="60">
        <f>Poland!E$3</f>
        <v>0</v>
      </c>
      <c r="F7" s="95">
        <f>Poland!F$3</f>
        <v>0</v>
      </c>
      <c r="G7" s="95">
        <f>Poland!G$3</f>
        <v>0</v>
      </c>
      <c r="H7" s="95">
        <f>Poland!H$3</f>
        <v>0</v>
      </c>
      <c r="I7" s="95">
        <f>Poland!I$3</f>
        <v>500</v>
      </c>
      <c r="J7" s="95">
        <f>Poland!J$3</f>
        <v>1000</v>
      </c>
      <c r="K7" s="95">
        <f>Poland!K$3</f>
        <v>5000</v>
      </c>
      <c r="L7" s="95">
        <f>Poland!L$3</f>
        <v>6000</v>
      </c>
      <c r="M7" s="95">
        <f>Poland!M$3</f>
        <v>15000</v>
      </c>
      <c r="N7" s="97">
        <f>Poland!N$3</f>
        <v>28000</v>
      </c>
    </row>
    <row r="8" spans="1:14" ht="12.75">
      <c r="A8" s="57" t="s">
        <v>5</v>
      </c>
      <c r="B8" s="64">
        <f t="shared" si="0"/>
        <v>0.6417489421720733</v>
      </c>
      <c r="C8" s="106">
        <f>E8-'[1]EU - variety'!E8</f>
        <v>5752</v>
      </c>
      <c r="D8" s="95">
        <f>F8-'[1]EU - variety'!F8</f>
        <v>-6805</v>
      </c>
      <c r="E8" s="60">
        <f>Belgium!E$3+Denmark!E$4+Germany!E$4+Switzerland!E$4+UK!E$5</f>
        <v>6984</v>
      </c>
      <c r="F8" s="95">
        <f>Belgium!F$3+Denmark!F$4+Germany!F$4+Switzerland!F$4+UK!F$5</f>
        <v>4254</v>
      </c>
      <c r="G8" s="95">
        <f>Belgium!G$3+Denmark!G$4+Germany!G$4+Switzerland!G$4+UK!G$5</f>
        <v>8852</v>
      </c>
      <c r="H8" s="95">
        <f>Belgium!H$3+Denmark!H$4+Germany!H$4+Switzerland!H$4+UK!H$5</f>
        <v>15990</v>
      </c>
      <c r="I8" s="95">
        <f>Belgium!I$3+Denmark!I$4+Germany!I$4+Switzerland!I$4+UK!I$5</f>
        <v>8789</v>
      </c>
      <c r="J8" s="95">
        <f>Belgium!J$3+Denmark!J$4+Germany!J$4+Switzerland!J$4+UK!J$5</f>
        <v>20948</v>
      </c>
      <c r="K8" s="95">
        <f>Belgium!K$3+Denmark!K$4+Germany!K$4+Switzerland!K$4+UK!K$5</f>
        <v>10076</v>
      </c>
      <c r="L8" s="95">
        <f>Belgium!L$3+Denmark!L$4+Germany!L$4+Switzerland!L$4+UK!L$5</f>
        <v>14713</v>
      </c>
      <c r="M8" s="95">
        <f>Belgium!M$3+Denmark!M$4+Germany!M$4+Switzerland!M$4+UK!M$5</f>
        <v>19623</v>
      </c>
      <c r="N8" s="97">
        <f>Belgium!N$3+Denmark!N$4+Germany!N$4+Switzerland!N$4+UK!N$5</f>
        <v>21156</v>
      </c>
    </row>
    <row r="9" spans="1:14" ht="12.75">
      <c r="A9" s="57" t="s">
        <v>61</v>
      </c>
      <c r="B9" s="64">
        <f t="shared" si="0"/>
        <v>0.14212441492909206</v>
      </c>
      <c r="C9" s="106">
        <f>E9-'[1]EU - variety'!E9</f>
        <v>-21851.660000000003</v>
      </c>
      <c r="D9" s="95">
        <f>F9-'[1]EU - variety'!F9</f>
        <v>-20618.109999999986</v>
      </c>
      <c r="E9" s="60">
        <f>France!E$8+Italy!E$4</f>
        <v>180309.34</v>
      </c>
      <c r="F9" s="95">
        <f>France!F$8+Italy!F$4</f>
        <v>157871.89</v>
      </c>
      <c r="G9" s="95">
        <f>France!G$8+Italy!G$4</f>
        <v>164716.2</v>
      </c>
      <c r="H9" s="95">
        <f>France!H$8+Italy!H$4</f>
        <v>137408.8</v>
      </c>
      <c r="I9" s="95">
        <f>France!I$8+Italy!I$4</f>
        <v>156923</v>
      </c>
      <c r="J9" s="95">
        <f>France!J$8+Italy!J$4</f>
        <v>120119</v>
      </c>
      <c r="K9" s="95">
        <f>France!K$8+Italy!K$4</f>
        <v>95814.53004996432</v>
      </c>
      <c r="L9" s="95">
        <f>France!L$8+Italy!L$4</f>
        <v>128861.83922722252</v>
      </c>
      <c r="M9" s="95">
        <f>France!M$8+Italy!M$4</f>
        <v>95699.81922630801</v>
      </c>
      <c r="N9" s="97">
        <f>France!N$8+Italy!N$4</f>
        <v>49442</v>
      </c>
    </row>
    <row r="10" spans="1:14" ht="12.75">
      <c r="A10" s="57" t="s">
        <v>2</v>
      </c>
      <c r="B10" s="64">
        <f t="shared" si="0"/>
        <v>0.4065618086050246</v>
      </c>
      <c r="C10" s="106">
        <f>E10-'[1]EU - variety'!E10</f>
        <v>-23163.468000000008</v>
      </c>
      <c r="D10" s="95">
        <f>F10-'[1]EU - variety'!F10</f>
        <v>-19006</v>
      </c>
      <c r="E10" s="60">
        <f>Austria!E$5+Belgium!E$4+Denmark!E$5+France!E$9+Germany!E$5+Italy!E$5+Switzerland!E$5+Netherlands!E$3+Poland!E$4</f>
        <v>125241.67</v>
      </c>
      <c r="F10" s="95">
        <f>Austria!F$5+Belgium!F$4+Denmark!F$5+France!F$9+Germany!F$5+Italy!F$5+Switzerland!F$5+Netherlands!F$3+Poland!F$4</f>
        <v>89041</v>
      </c>
      <c r="G10" s="95">
        <f>Austria!G$5+Belgium!G$4+Denmark!G$5+France!G$9+Germany!G$5+Italy!G$5+Switzerland!G$5+Netherlands!G$3+Poland!G$4</f>
        <v>129151.79000000001</v>
      </c>
      <c r="H10" s="95">
        <f>Austria!H$5+Belgium!H$4+Denmark!H$5+France!H$9+Germany!H$5+Italy!H$5+Switzerland!H$5+Netherlands!H$3+Poland!H$4</f>
        <v>144811.06</v>
      </c>
      <c r="I10" s="95">
        <f>Austria!I$5+Belgium!I$4+Denmark!I$5+France!I$9+Germany!I$5+Italy!I$5+Switzerland!I$5+Netherlands!I$3+Poland!I$4</f>
        <v>156610</v>
      </c>
      <c r="J10" s="95">
        <f>Austria!J$5+Belgium!J$4+Denmark!J$5+France!J$9+Germany!J$5+Italy!J$5+Switzerland!J$5+Netherlands!J$3+Poland!J$4</f>
        <v>123909.23999999999</v>
      </c>
      <c r="K10" s="95">
        <f>Austria!K$5+Belgium!K$4+Denmark!K$5+France!K$9+Germany!K$5+Italy!K$5+Switzerland!K$5+Netherlands!K$3+Poland!K$4</f>
        <v>120737.01065905305</v>
      </c>
      <c r="L10" s="95">
        <f>Austria!L$5+Belgium!L$4+Denmark!L$5+France!L$9+Germany!L$5+Italy!L$5+Switzerland!L$5+Netherlands!L$3+Poland!L$4</f>
        <v>155693.84738965466</v>
      </c>
      <c r="M10" s="95">
        <f>Austria!M$5+Belgium!M$4+Denmark!M$5+France!M$9+Germany!M$5+Italy!M$5+Switzerland!M$5+Netherlands!M$3+Poland!M$4</f>
        <v>116148</v>
      </c>
      <c r="N10" s="97">
        <f>Austria!N$5+Belgium!N$4+Denmark!N$5+France!N$9+Germany!N$5+Italy!N$5+Switzerland!N$5+Netherlands!N$3+Poland!N$4</f>
        <v>190776</v>
      </c>
    </row>
    <row r="11" spans="1:14" ht="12.75">
      <c r="A11" s="57" t="s">
        <v>12</v>
      </c>
      <c r="B11" s="64">
        <f t="shared" si="0"/>
        <v>0.23475595687478218</v>
      </c>
      <c r="C11" s="106">
        <f>E11-'[1]EU - variety'!E11</f>
        <v>-15445.721388035745</v>
      </c>
      <c r="D11" s="95">
        <f>F11-'[1]EU - variety'!F11</f>
        <v>-17348.74681189959</v>
      </c>
      <c r="E11" s="60">
        <f>Austria!E$7+Denmark!E$6+France!E$10+Germany!E$6+Italy!E$6+Spain!E$2</f>
        <v>164735.27861196426</v>
      </c>
      <c r="F11" s="95">
        <f>Austria!F$7+Denmark!F$6+France!F$10+Germany!F$6+Italy!F$6+Spain!F$2</f>
        <v>133415.2531881004</v>
      </c>
      <c r="G11" s="95">
        <f>Austria!G$7+Denmark!G$6+France!G$10+Germany!G$6+Italy!G$6+Spain!G$2</f>
        <v>158772.4135719678</v>
      </c>
      <c r="H11" s="95">
        <f>Austria!H$7+Denmark!H$6+France!H$10+Germany!H$6+Italy!H$6+Spain!H$2</f>
        <v>180237.81871880993</v>
      </c>
      <c r="I11" s="95">
        <f>Austria!I$7+Denmark!I$6+France!I$10+Germany!I$6+Italy!I$6+Spain!I$2</f>
        <v>168071.3712767628</v>
      </c>
      <c r="J11" s="95">
        <f>Austria!J$7+Denmark!J$6+France!J$10+Germany!J$6+Italy!J$6+Spain!J$2</f>
        <v>171055.65074464388</v>
      </c>
      <c r="K11" s="95">
        <f>Austria!K$7+Denmark!K$6+France!K$10+Germany!K$6+Italy!K$6+Spain!K$2</f>
        <v>105922.62795753183</v>
      </c>
      <c r="L11" s="95">
        <f>Austria!L$7+Denmark!L$6+France!L$10+Germany!L$6+Italy!L$6+Spain!L$2</f>
        <v>149318.27686470392</v>
      </c>
      <c r="M11" s="95">
        <f>Austria!M$7+Denmark!M$6+France!M$10+Germany!M$6+Italy!M$6+Spain!M$2</f>
        <v>151837.00268101634</v>
      </c>
      <c r="N11" s="97">
        <f>Austria!N$7+Denmark!N$6+France!N$10+Germany!N$6+Italy!N$6+Spain!N$2</f>
        <v>138047</v>
      </c>
    </row>
    <row r="12" spans="1:14" ht="12.75">
      <c r="A12" s="57" t="s">
        <v>9</v>
      </c>
      <c r="B12" s="64">
        <f t="shared" si="0"/>
        <v>0.523509607034091</v>
      </c>
      <c r="C12" s="106">
        <f>E12-'[1]EU - variety'!E12</f>
        <v>-45833.38509926095</v>
      </c>
      <c r="D12" s="95">
        <f>F12-'[1]EU - variety'!F12</f>
        <v>-96452.25031776505</v>
      </c>
      <c r="E12" s="60">
        <f>Austria!E$8+'Czech Republic'!E$3+Denmark!E$7+France!E$11+Germany!E$7+Italy!E$7+Spain!E$3+Switzerland!E$6+UK!E$6+Poland!E$5</f>
        <v>445103.61490073905</v>
      </c>
      <c r="F12" s="95">
        <f>Austria!F$8+'Czech Republic'!F$3+Denmark!F$7+France!F$11+Germany!F$7+Italy!F$7+Spain!F$3+Switzerland!F$6+UK!F$6+Poland!F$5</f>
        <v>292156.74968223495</v>
      </c>
      <c r="G12" s="95">
        <f>Austria!G$8+'Czech Republic'!G$3+Denmark!G$7+France!G$11+Germany!G$7+Italy!G$7+Spain!G$3+Switzerland!G$6+UK!G$6+Poland!G$5</f>
        <v>291572.25924304116</v>
      </c>
      <c r="H12" s="95">
        <f>Austria!H$8+'Czech Republic'!H$3+Denmark!H$7+France!H$11+Germany!H$7+Italy!H$7+Spain!H$3+Switzerland!H$6+UK!H$6+Poland!H$5</f>
        <v>310544.58807626367</v>
      </c>
      <c r="I12" s="95">
        <f>Austria!I$8+'Czech Republic'!I$3+Denmark!I$7+France!I$11+Germany!I$7+Italy!I$7+Spain!I$3+Switzerland!I$6+UK!I$6+Poland!I$5</f>
        <v>291000.0411093496</v>
      </c>
      <c r="J12" s="95">
        <f>Austria!J$8+'Czech Republic'!J$3+Denmark!J$7+France!J$11+Germany!J$7+Italy!J$7+Spain!J$3+Switzerland!J$6+UK!J$6+Poland!J$5</f>
        <v>312603.747597234</v>
      </c>
      <c r="K12" s="95">
        <f>Austria!K$8+'Czech Republic'!K$3+Denmark!K$7+France!K$11+Germany!K$7+Italy!K$7+Spain!K$3+Switzerland!K$6+UK!K$6+Poland!K$5</f>
        <v>226823.95721653057</v>
      </c>
      <c r="L12" s="95">
        <f>Austria!L$8+'Czech Republic'!L$3+Denmark!L$7+France!L$11+Germany!L$7+Italy!L$7+Spain!L$3+Switzerland!L$6+UK!L$6+Poland!L$5</f>
        <v>309238.5892574804</v>
      </c>
      <c r="M12" s="95">
        <f>Austria!M$8+'Czech Republic'!M$3+Denmark!M$7+France!M$11+Germany!M$7+Italy!M$7+Spain!M$3+Switzerland!M$6+UK!M$6+Poland!M$5</f>
        <v>279732.26826233545</v>
      </c>
      <c r="N12" s="97">
        <f>Austria!N$8+'Czech Republic'!N$3+Denmark!N$7+France!N$11+Germany!N$7+Italy!N$7+Spain!N$3+Switzerland!N$6+UK!N$6+Poland!N$5</f>
        <v>279359</v>
      </c>
    </row>
    <row r="13" spans="1:14" ht="12.75">
      <c r="A13" s="57" t="s">
        <v>14</v>
      </c>
      <c r="B13" s="64">
        <f t="shared" si="0"/>
        <v>0.09516333927718149</v>
      </c>
      <c r="C13" s="106">
        <f>E13-'[1]EU - variety'!E13</f>
        <v>-3474.699999999997</v>
      </c>
      <c r="D13" s="95">
        <f>F13-'[1]EU - variety'!F13</f>
        <v>-10248</v>
      </c>
      <c r="E13" s="60">
        <f>Austria!E$9+Belgium!E$5+'Czech Republic'!E$4+Denmark!E$8+Germany!E$8+Italy!E$8+Poland!E$6</f>
        <v>93968.3</v>
      </c>
      <c r="F13" s="95">
        <f>Austria!F$9+Belgium!F$5+'Czech Republic'!F$4+Denmark!F$8+Germany!F$8+Italy!F$8+Poland!F$6</f>
        <v>85803</v>
      </c>
      <c r="G13" s="95">
        <f>Austria!G$9+Belgium!G$5+'Czech Republic'!G$4+Denmark!G$8+Germany!G$8+Italy!G$8+Poland!G$6</f>
        <v>92277</v>
      </c>
      <c r="H13" s="95">
        <f>Austria!H$9+Belgium!H$5+'Czech Republic'!H$4+Denmark!H$8+Germany!H$8+Italy!H$8+Poland!H$6</f>
        <v>92520</v>
      </c>
      <c r="I13" s="95">
        <f>Austria!I$9+Belgium!I$5+'Czech Republic'!I$4+Denmark!I$8+Germany!I$8+Italy!I$8+Poland!I$6</f>
        <v>95030</v>
      </c>
      <c r="J13" s="95">
        <f>Austria!J$9+Belgium!J$5+'Czech Republic'!J$4+Denmark!J$8+Germany!J$8+Italy!J$8+Poland!J$6</f>
        <v>93911</v>
      </c>
      <c r="K13" s="95">
        <f>Austria!K$9+Belgium!K$5+'Czech Republic'!K$4+Denmark!K$8+Germany!K$8+Italy!K$8+Poland!K$6</f>
        <v>96483.07727813466</v>
      </c>
      <c r="L13" s="95">
        <f>Austria!L$9+Belgium!L$5+'Czech Republic'!L$4+Denmark!L$8+Germany!L$8+Italy!L$8+Poland!L$6</f>
        <v>89916.0806037174</v>
      </c>
      <c r="M13" s="95">
        <f>Austria!M$9+Belgium!M$5+'Czech Republic'!M$4+Denmark!M$8+Germany!M$8+Italy!M$8+Poland!M$6</f>
        <v>33143</v>
      </c>
      <c r="N13" s="97">
        <f>Austria!N$9+Belgium!N$5+'Czech Republic'!N$4+Denmark!N$8+Germany!N$8+Italy!N$8+Poland!N$6</f>
        <v>33238</v>
      </c>
    </row>
    <row r="14" spans="1:14" ht="12.75">
      <c r="A14" s="57" t="s">
        <v>3</v>
      </c>
      <c r="B14" s="64">
        <f t="shared" si="0"/>
        <v>0.3006107517968528</v>
      </c>
      <c r="C14" s="106">
        <f>E14-'[1]EU - variety'!E14</f>
        <v>-86081.21382420207</v>
      </c>
      <c r="D14" s="95">
        <f>F14-'[1]EU - variety'!F14</f>
        <v>-83837</v>
      </c>
      <c r="E14" s="60">
        <f>Austria!E$10+Belgium!E$6+'Czech Republic'!E$5+France!E$12+Germany!E$9+Italy!E$9+Spain!E$4+Switzerland!E$8+Netherlands!E$4+Poland!E$7</f>
        <v>1074013.144175798</v>
      </c>
      <c r="F14" s="95">
        <f>Austria!F$10+Belgium!F$6+'Czech Republic'!F$5+France!F$12+Germany!F$9+Italy!F$9+Spain!F$4+Switzerland!F$8+Netherlands!F$4+Poland!F$7</f>
        <v>825776</v>
      </c>
      <c r="G14" s="95">
        <f>Austria!G$10+Belgium!G$6+'Czech Republic'!G$5+France!G$12+Germany!G$9+Italy!G$9+Spain!G$4+Switzerland!G$8+Netherlands!G$4+Poland!G$7</f>
        <v>1195541.089822867</v>
      </c>
      <c r="H14" s="95">
        <f>Austria!H$10+Belgium!H$6+'Czech Republic'!H$5+France!H$12+Germany!H$9+Italy!H$9+Spain!H$4+Switzerland!H$8+Netherlands!H$4+Poland!H$7</f>
        <v>1216359.9109924496</v>
      </c>
      <c r="I14" s="95">
        <f>Austria!I$10+Belgium!I$6+'Czech Republic'!I$5+France!I$12+Germany!I$9+Italy!I$9+Spain!I$4+Switzerland!I$8+Netherlands!I$4+Poland!I$7</f>
        <v>1277549</v>
      </c>
      <c r="J14" s="95">
        <f>Austria!J$10+Belgium!J$6+'Czech Republic'!J$5+France!J$12+Germany!J$9+Italy!J$9+Spain!J$4+Switzerland!J$8+Netherlands!J$4+Poland!J$7</f>
        <v>1165204.1933209936</v>
      </c>
      <c r="K14" s="95">
        <f>Austria!K$10+Belgium!K$6+'Czech Republic'!K$5+France!K$12+Germany!K$9+Italy!K$9+Spain!K$4+Switzerland!K$8+Netherlands!K$4+Poland!K$7</f>
        <v>1028729.3973106921</v>
      </c>
      <c r="L14" s="95">
        <f>Austria!L$10+Belgium!L$6+'Czech Republic'!L$5+France!L$12+Germany!L$9+Italy!L$9+Spain!L$4+Switzerland!L$8+Netherlands!L$4+Poland!L$7</f>
        <v>1240570.0996930983</v>
      </c>
      <c r="M14" s="95">
        <f>Austria!M$10+Belgium!M$6+'Czech Republic'!M$5+France!M$12+Germany!M$9+Italy!M$9+Spain!M$4+Switzerland!M$8+Netherlands!M$4+Poland!M$7</f>
        <v>1152619.6856369125</v>
      </c>
      <c r="N14" s="97">
        <f>Austria!N$10+Belgium!N$6+'Czech Republic'!N$5+France!N$12+Germany!N$9+Italy!N$9+Spain!N$4+Switzerland!N$8+Netherlands!N$4+Poland!N$7</f>
        <v>1193615</v>
      </c>
    </row>
    <row r="15" spans="1:14" ht="12.75">
      <c r="A15" s="57" t="s">
        <v>17</v>
      </c>
      <c r="B15" s="64">
        <f t="shared" si="0"/>
        <v>-0.03352920715883263</v>
      </c>
      <c r="C15" s="106">
        <f>E15-'[1]EU - variety'!E15</f>
        <v>-24218.069404843118</v>
      </c>
      <c r="D15" s="95">
        <f>F15-'[1]EU - variety'!F15</f>
        <v>-22531.493722444255</v>
      </c>
      <c r="E15" s="60">
        <f>Austria!E$11+France!E$14+Italy!E$10+Spain!E$5+Switzerland!E$9</f>
        <v>172820.93059515688</v>
      </c>
      <c r="F15" s="95">
        <f>Austria!F$11+France!F$14+Italy!F$10+Spain!F$5+Switzerland!F$9</f>
        <v>178816.50627755575</v>
      </c>
      <c r="G15" s="95">
        <f>Austria!G$11+France!G$14+Italy!G$10+Spain!G$5+Switzerland!G$9</f>
        <v>159526.50705898937</v>
      </c>
      <c r="H15" s="95">
        <f>Austria!H$11+France!H$14+Italy!H$10+Spain!H$5+Switzerland!H$9</f>
        <v>188204.61065331203</v>
      </c>
      <c r="I15" s="95">
        <f>Austria!I$11+France!I$14+Italy!I$10+Spain!I$5+Switzerland!I$9</f>
        <v>178790</v>
      </c>
      <c r="J15" s="95">
        <f>Austria!J$11+France!J$14+Italy!J$10+Spain!J$5+Switzerland!J$9</f>
        <v>178107.21477837046</v>
      </c>
      <c r="K15" s="95">
        <f>Austria!K$11+France!K$14+Italy!K$10+Spain!K$5+Switzerland!K$9</f>
        <v>113407.09213276173</v>
      </c>
      <c r="L15" s="95">
        <f>Austria!L$11+France!L$14+Italy!L$10+Spain!L$5+Switzerland!L$9</f>
        <v>153041.99173670815</v>
      </c>
      <c r="M15" s="95">
        <f>Austria!M$11+France!M$14+Italy!M$10+Spain!M$5+Switzerland!M$9</f>
        <v>141702.38072023078</v>
      </c>
      <c r="N15" s="97">
        <f>Austria!N$11+France!N$14+Italy!N$10+Spain!N$5+Switzerland!N$9</f>
        <v>146384</v>
      </c>
    </row>
    <row r="16" spans="1:14" ht="12.75">
      <c r="A16" s="57" t="s">
        <v>15</v>
      </c>
      <c r="B16" s="64">
        <f t="shared" si="0"/>
        <v>9.806201550387597</v>
      </c>
      <c r="C16" s="106">
        <f>E16-'[1]EU - variety'!E16</f>
        <v>-1367</v>
      </c>
      <c r="D16" s="95">
        <f>F16-'[1]EU - variety'!F16</f>
        <v>-896</v>
      </c>
      <c r="E16" s="60">
        <f>Denmark!E$9+Germany!E$10</f>
        <v>2788</v>
      </c>
      <c r="F16" s="95">
        <f>Denmark!F$9+Germany!F$10</f>
        <v>258</v>
      </c>
      <c r="G16" s="95">
        <f>Denmark!G$9+Germany!G$10</f>
        <v>2906</v>
      </c>
      <c r="H16" s="95">
        <f>Denmark!H$9+Germany!H$10</f>
        <v>3812</v>
      </c>
      <c r="I16" s="95">
        <f>Denmark!I$9+Germany!I$10</f>
        <v>3271</v>
      </c>
      <c r="J16" s="95">
        <f>Denmark!J$9+Germany!J$10</f>
        <v>872</v>
      </c>
      <c r="K16" s="95">
        <f>Denmark!K$9+Germany!K$10</f>
        <v>1192</v>
      </c>
      <c r="L16" s="95">
        <f>Denmark!L$9+Germany!L$10</f>
        <v>4011</v>
      </c>
      <c r="M16" s="95">
        <f>Denmark!M$9+Germany!M$10</f>
        <v>3071</v>
      </c>
      <c r="N16" s="97">
        <f>Denmark!N$9+Germany!N$10</f>
        <v>4819</v>
      </c>
    </row>
    <row r="17" spans="1:15" ht="12.75">
      <c r="A17" s="57" t="s">
        <v>10</v>
      </c>
      <c r="B17" s="64">
        <f t="shared" si="0"/>
        <v>0.9905260839578298</v>
      </c>
      <c r="C17" s="106">
        <f>E17-'[1]EU - variety'!E17</f>
        <v>-41529.619999999995</v>
      </c>
      <c r="D17" s="95">
        <f>F17-'[1]EU - variety'!F17</f>
        <v>-30933</v>
      </c>
      <c r="E17" s="60">
        <f>Austria!E$12+'Czech Republic'!E$6+Denmark!E$10+France!E$16+Germany!E$11+Italy!E$11+Switzerland!E$10+Poland!E$8</f>
        <v>343443.38</v>
      </c>
      <c r="F17" s="95">
        <f>Austria!F$12+'Czech Republic'!F$6+Denmark!F$10+France!F$16+Germany!F$11+Italy!F$11+Switzerland!F$10+Poland!F$8</f>
        <v>172539</v>
      </c>
      <c r="G17" s="95">
        <f>Austria!G$12+'Czech Republic'!G$6+Denmark!G$10+France!G$16+Germany!G$11+Italy!G$11+Switzerland!G$10+Poland!G$8</f>
        <v>340574.86</v>
      </c>
      <c r="H17" s="95">
        <f>Austria!H$12+'Czech Republic'!H$6+Denmark!H$10+France!H$16+Germany!H$11+Italy!H$11+Switzerland!H$10+Poland!H$8</f>
        <v>377330.92</v>
      </c>
      <c r="I17" s="95">
        <f>Austria!I$12+'Czech Republic'!I$6+Denmark!I$10+France!I$16+Germany!I$11+Italy!I$11+Switzerland!I$10+Poland!I$8</f>
        <v>359557</v>
      </c>
      <c r="J17" s="95">
        <f>Austria!J$12+'Czech Republic'!J$6+Denmark!J$10+France!J$16+Germany!J$11+Italy!J$11+Switzerland!J$10+Poland!J$8</f>
        <v>316155.88</v>
      </c>
      <c r="K17" s="95">
        <f>Austria!K$12+'Czech Republic'!K$6+Denmark!K$10+France!K$16+Germany!K$11+Italy!K$11+Switzerland!K$10+Poland!K$8</f>
        <v>305096.4254580062</v>
      </c>
      <c r="L17" s="95">
        <f>Austria!L$12+'Czech Republic'!L$6+Denmark!L$10+France!L$16+Germany!L$11+Italy!L$11+Switzerland!L$10+Poland!L$8</f>
        <v>294359.9986489602</v>
      </c>
      <c r="M17" s="95">
        <f>Austria!M$12+'Czech Republic'!M$6+Denmark!M$10+France!M$16+Germany!M$11+Italy!M$11+Switzerland!M$10+Poland!M$8</f>
        <v>151788</v>
      </c>
      <c r="N17" s="97">
        <f>Austria!N$12+'Czech Republic'!N$6+Denmark!N$10+France!N$16+Germany!N$11+Italy!N$11+Switzerland!N$10+Poland!N$8</f>
        <v>187538</v>
      </c>
      <c r="O17" s="1"/>
    </row>
    <row r="18" spans="1:15" ht="12.75">
      <c r="A18" s="57" t="s">
        <v>27</v>
      </c>
      <c r="B18" s="64">
        <f t="shared" si="0"/>
        <v>1.186944014490367</v>
      </c>
      <c r="C18" s="106">
        <f>E18-'[1]EU - variety'!E18</f>
        <v>-68823.79200000002</v>
      </c>
      <c r="D18" s="95">
        <f>F18-'[1]EU - variety'!F18</f>
        <v>-26422</v>
      </c>
      <c r="E18" s="60">
        <f>Austria!E$13+Belgium!E$7+'Czech Republic'!E$7+Denmark!E$12+France!E$18+Germany!E$13+Italy!E$12+Switzerland!E$11+Netherlands!E$5+UK!E$7+Poland!E$9</f>
        <v>265626.22</v>
      </c>
      <c r="F18" s="95">
        <f>Austria!F$13+Belgium!F$7+'Czech Republic'!F$7+Denmark!F$12+France!F$18+Germany!F$13+Italy!F$12+Switzerland!F$11+Netherlands!F$5+UK!F$7+Poland!F$9</f>
        <v>121460</v>
      </c>
      <c r="G18" s="95">
        <f>Austria!G$13+Belgium!G$7+'Czech Republic'!G$7+Denmark!G$12+France!G$18+Germany!G$13+Italy!G$12+Switzerland!G$11+Netherlands!G$5+UK!G$7+Poland!G$9</f>
        <v>257922.48</v>
      </c>
      <c r="H18" s="95">
        <f>Austria!H$13+Belgium!H$7+'Czech Republic'!H$7+Denmark!H$12+France!H$18+Germany!H$13+Italy!H$12+Switzerland!H$11+Netherlands!H$5+UK!H$7+Poland!H$9</f>
        <v>295936.08999999997</v>
      </c>
      <c r="I18" s="95">
        <f>Austria!I$13+Belgium!I$7+'Czech Republic'!I$7+Denmark!I$12+France!I$18+Germany!I$13+Italy!I$12+Switzerland!I$11+Netherlands!I$5+UK!I$7+Poland!I$9</f>
        <v>311979</v>
      </c>
      <c r="J18" s="95">
        <f>Austria!J$13+Belgium!J$7+'Czech Republic'!J$7+Denmark!J$12+France!J$18+Germany!J$13+Italy!J$12+Switzerland!J$11+Netherlands!J$5+UK!J$7+Poland!J$9</f>
        <v>270749.83999999997</v>
      </c>
      <c r="K18" s="95">
        <f>Austria!K$13+Belgium!K$7+'Czech Republic'!K$7+Denmark!K$12+France!K$18+Germany!K$13+Italy!K$12+Switzerland!K$11+Netherlands!K$5+UK!K$7+Poland!K$9</f>
        <v>254458.50002379253</v>
      </c>
      <c r="L18" s="95">
        <f>Austria!L$13+Belgium!L$7+'Czech Republic'!L$7+Denmark!L$12+France!L$18+Germany!L$13+Italy!L$12+Switzerland!L$11+Netherlands!L$5+UK!L$7+Poland!L$9</f>
        <v>326888.5296239374</v>
      </c>
      <c r="M18" s="95">
        <f>Austria!M$13+Belgium!M$7+'Czech Republic'!M$7+Denmark!M$12+France!M$18+Germany!M$13+Italy!M$12+Switzerland!M$11+Netherlands!M$5+UK!M$7+Poland!M$9</f>
        <v>218126</v>
      </c>
      <c r="N18" s="97">
        <f>Austria!N$13+Belgium!N$7+'Czech Republic'!N$7+Denmark!N$12+France!N$18+Germany!N$13+Italy!N$12+Switzerland!N$11+Netherlands!N$5+UK!N$7+Poland!N$9</f>
        <v>362843</v>
      </c>
      <c r="O18" s="1"/>
    </row>
    <row r="19" spans="1:14" ht="12.75">
      <c r="A19" s="57" t="s">
        <v>26</v>
      </c>
      <c r="B19" s="64">
        <f t="shared" si="0"/>
        <v>2.0163172501421074</v>
      </c>
      <c r="C19" s="106">
        <f>E19-'[1]EU - variety'!E19</f>
        <v>-10958</v>
      </c>
      <c r="D19" s="95">
        <f>F19-'[1]EU - variety'!F19</f>
        <v>-4531</v>
      </c>
      <c r="E19" s="60">
        <f>Austria!E$14+Belgium!E$8+Denmark!E$13+Germany!E$14+UK!E$8</f>
        <v>90209</v>
      </c>
      <c r="F19" s="95">
        <f>Austria!F$14+Belgium!F$8+Denmark!F$13+Germany!F$14+UK!F$8</f>
        <v>29907</v>
      </c>
      <c r="G19" s="95">
        <f>Austria!G$14+Belgium!G$8+Denmark!G$13+Germany!G$14+UK!G$8</f>
        <v>90279.24</v>
      </c>
      <c r="H19" s="95">
        <f>Austria!H$14+Belgium!H$8+Denmark!H$13+Germany!H$14+UK!H$8</f>
        <v>96365.82</v>
      </c>
      <c r="I19" s="95">
        <f>Austria!I$14+Belgium!I$8+Denmark!I$13+Germany!I$14+UK!I$8</f>
        <v>127742</v>
      </c>
      <c r="J19" s="95">
        <f>Austria!J$14+Belgium!J$8+Denmark!J$13+Germany!J$14+UK!J$8</f>
        <v>84398.95999999999</v>
      </c>
      <c r="K19" s="95">
        <f>Austria!K$14+Belgium!K$8+Denmark!K$13+Germany!K$14+UK!K$8</f>
        <v>103559</v>
      </c>
      <c r="L19" s="95">
        <f>Austria!L$14+Belgium!L$8+Denmark!L$13+Germany!L$14+UK!L$8</f>
        <v>116457</v>
      </c>
      <c r="M19" s="95">
        <f>Austria!M$14+Belgium!M$8+Denmark!M$13+Germany!M$14+UK!M$8</f>
        <v>91859</v>
      </c>
      <c r="N19" s="97">
        <f>Austria!N$14+Belgium!N$8+Denmark!N$13+Germany!N$14+UK!N$8</f>
        <v>122121</v>
      </c>
    </row>
    <row r="20" spans="1:17" ht="12.75">
      <c r="A20" s="57" t="s">
        <v>50</v>
      </c>
      <c r="B20" s="64"/>
      <c r="C20" s="106">
        <f>E20-'[1]EU - variety'!E20</f>
        <v>0</v>
      </c>
      <c r="D20" s="95">
        <f>F20-'[1]EU - variety'!F20</f>
        <v>0</v>
      </c>
      <c r="E20" s="60">
        <f>Italy!E$13</f>
        <v>0</v>
      </c>
      <c r="F20" s="95">
        <f>Italy!F$13</f>
        <v>0</v>
      </c>
      <c r="G20" s="95">
        <f>Italy!G$13</f>
        <v>0</v>
      </c>
      <c r="H20" s="95">
        <f>Italy!H$13</f>
        <v>7</v>
      </c>
      <c r="I20" s="95">
        <f>Italy!I$13</f>
        <v>7</v>
      </c>
      <c r="J20" s="95">
        <f>Italy!J$13</f>
        <v>0</v>
      </c>
      <c r="K20" s="95">
        <f>Italy!K$13</f>
        <v>1.002664763264335</v>
      </c>
      <c r="L20" s="95">
        <f>Italy!L$13+Poland!L$10</f>
        <v>115003.00690889006</v>
      </c>
      <c r="M20" s="95">
        <f>Italy!M$13+Poland!M$10</f>
        <v>0</v>
      </c>
      <c r="N20" s="97">
        <f>Italy!N$13+Poland!N$10</f>
        <v>10001</v>
      </c>
      <c r="Q20" s="16"/>
    </row>
    <row r="21" spans="1:14" ht="12.75">
      <c r="A21" s="57" t="s">
        <v>34</v>
      </c>
      <c r="B21" s="64"/>
      <c r="C21" s="106">
        <f>E21-'[1]EU - variety'!E21</f>
        <v>0</v>
      </c>
      <c r="D21" s="95">
        <f>F21-'[1]EU - variety'!F21</f>
        <v>0</v>
      </c>
      <c r="E21" s="60">
        <f>Poland!E$11</f>
        <v>0</v>
      </c>
      <c r="F21" s="95">
        <f>Poland!F$11</f>
        <v>0</v>
      </c>
      <c r="G21" s="95">
        <f>Poland!G$11</f>
        <v>0</v>
      </c>
      <c r="H21" s="95">
        <f>Poland!H$11</f>
        <v>0</v>
      </c>
      <c r="I21" s="95">
        <f>Poland!I$11</f>
        <v>500</v>
      </c>
      <c r="J21" s="95">
        <f>Poland!J$11</f>
        <v>1000</v>
      </c>
      <c r="K21" s="95">
        <f>Poland!K$11</f>
        <v>1000</v>
      </c>
      <c r="L21" s="95">
        <f>Poland!L$11</f>
        <v>5000</v>
      </c>
      <c r="M21" s="95">
        <f>Poland!M$11</f>
        <v>28000</v>
      </c>
      <c r="N21" s="97">
        <f>Poland!N$11</f>
        <v>62000</v>
      </c>
    </row>
    <row r="22" spans="1:14" ht="12.75">
      <c r="A22" s="57" t="s">
        <v>18</v>
      </c>
      <c r="B22" s="64">
        <f t="shared" si="0"/>
        <v>0.47688016320081084</v>
      </c>
      <c r="C22" s="106">
        <f>E22-'[1]EU - variety'!E22</f>
        <v>-1796.7599999999984</v>
      </c>
      <c r="D22" s="95">
        <f>F22-'[1]EU - variety'!F22</f>
        <v>-3865.8508628098243</v>
      </c>
      <c r="E22" s="60">
        <f>Italy!E$14</f>
        <v>21558.24</v>
      </c>
      <c r="F22" s="95">
        <f>Italy!F$14</f>
        <v>14597.149137190176</v>
      </c>
      <c r="G22" s="95">
        <f>Italy!G$14</f>
        <v>19810.489999999998</v>
      </c>
      <c r="H22" s="95">
        <f>Italy!H$14</f>
        <v>21742.32</v>
      </c>
      <c r="I22" s="95">
        <f>Italy!I$14</f>
        <v>29166</v>
      </c>
      <c r="J22" s="95">
        <f>Italy!J$14</f>
        <v>22747</v>
      </c>
      <c r="K22" s="95">
        <f>Italy!K$14</f>
        <v>20793.261860575778</v>
      </c>
      <c r="L22" s="95">
        <f>Italy!L$14</f>
        <v>15360.292913404735</v>
      </c>
      <c r="M22" s="95">
        <f>Italy!M$14</f>
        <v>38884.509549032366</v>
      </c>
      <c r="N22" s="97">
        <f>Italy!N$14</f>
        <v>29032</v>
      </c>
    </row>
    <row r="23" spans="1:14" ht="12.75">
      <c r="A23" s="57" t="s">
        <v>13</v>
      </c>
      <c r="B23" s="64">
        <f t="shared" si="0"/>
        <v>2.2872129280896907</v>
      </c>
      <c r="C23" s="106">
        <f>E23-'[1]EU - variety'!E23</f>
        <v>-11269.779999999999</v>
      </c>
      <c r="D23" s="95">
        <f>F23-'[1]EU - variety'!F23</f>
        <v>-6170</v>
      </c>
      <c r="E23" s="60">
        <f>Austria!E$16+Denmark!E$15+Germany!E$15+Switzerland!E$14+Poland!E$12+Italy!E$15</f>
        <v>75060.22</v>
      </c>
      <c r="F23" s="95">
        <f>Austria!F$16+Denmark!F$15+Germany!F$15+Switzerland!F$14+Poland!F$12</f>
        <v>22834</v>
      </c>
      <c r="G23" s="95">
        <f>Austria!G$16+Denmark!G$15+Germany!G$15+Switzerland!G$14+Poland!G$12</f>
        <v>28175.03</v>
      </c>
      <c r="H23" s="95">
        <f>Austria!H$16+Denmark!H$15+Germany!H$15+Switzerland!H$14+Poland!H$12</f>
        <v>29852.84</v>
      </c>
      <c r="I23" s="95">
        <f>Austria!I$16+Denmark!I$15+Germany!I$15+Switzerland!I$14+Poland!I$12</f>
        <v>31249</v>
      </c>
      <c r="J23" s="95">
        <f>Austria!J$16+Denmark!J$15+Germany!J$15+Switzerland!J$14+Poland!J$12</f>
        <v>29117.42</v>
      </c>
      <c r="K23" s="95">
        <f>Austria!K$16+Denmark!K$15+Germany!K$15+Switzerland!K$14+Poland!K$12</f>
        <v>16000</v>
      </c>
      <c r="L23" s="95">
        <f>Austria!L$16+Denmark!L$15+Germany!L$15+Switzerland!L$14</f>
        <v>14658</v>
      </c>
      <c r="M23" s="95">
        <f>Austria!M$16+Denmark!M$15+Germany!M$15+Switzerland!M$14</f>
        <v>12827</v>
      </c>
      <c r="N23" s="97">
        <f>Austria!N$16+Denmark!N$15+Germany!N$15+Switzerland!N$14</f>
        <v>15879</v>
      </c>
    </row>
    <row r="24" spans="1:14" ht="12.75">
      <c r="A24" s="57" t="s">
        <v>19</v>
      </c>
      <c r="B24" s="64">
        <f t="shared" si="0"/>
        <v>0.6015499230508221</v>
      </c>
      <c r="C24" s="106">
        <f>E24-'[1]EU - variety'!E24</f>
        <v>-29875.31841643562</v>
      </c>
      <c r="D24" s="95">
        <f>F24-'[1]EU - variety'!F24</f>
        <v>-26833.051999999996</v>
      </c>
      <c r="E24" s="60">
        <f>'Czech Republic'!E$8+France!E$21+Italy!E$16+Spain!E$6+Poland!E$13</f>
        <v>211998.68158356438</v>
      </c>
      <c r="F24" s="95">
        <f>'Czech Republic'!F$8+France!F$21+Italy!F$16+Spain!F$6+Poland!F$13</f>
        <v>132370.948</v>
      </c>
      <c r="G24" s="95">
        <f>'Czech Republic'!G$8+France!G$21+Italy!G$16+Spain!G$6+Poland!G$13</f>
        <v>178867.61804809625</v>
      </c>
      <c r="H24" s="95">
        <f>'Czech Republic'!H$8+France!H$21+Italy!H$16+Spain!H$6+Poland!H$13</f>
        <v>183184.05098418135</v>
      </c>
      <c r="I24" s="95">
        <f>'Czech Republic'!I$8+France!I$19+Italy!I$16+Spain!I$6+Poland!I$13</f>
        <v>162672</v>
      </c>
      <c r="J24" s="95">
        <f>'Czech Republic'!J$8+France!J$19+Italy!J$16+Spain!J$6+Poland!J$13</f>
        <v>151678.30558986723</v>
      </c>
      <c r="K24" s="95">
        <f>'Czech Republic'!K$8+France!K$19+Italy!K$16+Spain!K$6+Poland!K$13</f>
        <v>111480.7477015693</v>
      </c>
      <c r="L24" s="95">
        <f>'Czech Republic'!L$8+France!L$19+Italy!L$16+Spain!L$6+Poland!L$12+Poland!L$13</f>
        <v>146297.56079439027</v>
      </c>
      <c r="M24" s="95">
        <f>'Czech Republic'!M$8+France!M$19+Italy!M$16+Spain!M$6+Poland!M$12+Poland!M$13</f>
        <v>160540.91429180597</v>
      </c>
      <c r="N24" s="97">
        <f>'Czech Republic'!N$8+France!N$19+Italy!N$16+Spain!N$6+Poland!N$12+Poland!N$13</f>
        <v>196813</v>
      </c>
    </row>
    <row r="25" spans="1:14" ht="12.75">
      <c r="A25" s="57" t="s">
        <v>134</v>
      </c>
      <c r="B25" s="64">
        <f t="shared" si="0"/>
        <v>2.430407118418785</v>
      </c>
      <c r="C25" s="106">
        <f>E25-'[1]EU - variety'!E25</f>
        <v>66153.15</v>
      </c>
      <c r="D25" s="95">
        <f>F25-'[1]EU - variety'!F25</f>
        <v>-1510</v>
      </c>
      <c r="E25" s="60">
        <f>Germany!E$16+Austria!E$17+Poland!E$14</f>
        <v>139367.15</v>
      </c>
      <c r="F25" s="95">
        <f>Germany!F$16+Austria!F$17</f>
        <v>40627</v>
      </c>
      <c r="G25" s="95">
        <f>Germany!G$16</f>
        <v>57760</v>
      </c>
      <c r="H25" s="95">
        <f>Germany!H$16</f>
        <v>34212</v>
      </c>
      <c r="I25" s="95">
        <f>Germany!I$16</f>
        <v>40062</v>
      </c>
      <c r="J25" s="95">
        <f>Germany!J$16</f>
        <v>17831</v>
      </c>
      <c r="K25" s="95">
        <f>Germany!K$16</f>
        <v>27548</v>
      </c>
      <c r="L25" s="95">
        <f>Germany!L$16</f>
        <v>21401</v>
      </c>
      <c r="M25" s="95">
        <f>Germany!M$16</f>
        <v>15763</v>
      </c>
      <c r="N25" s="97">
        <f>Germany!N$16</f>
        <v>18185</v>
      </c>
    </row>
    <row r="26" spans="1:100" s="4" customFormat="1" ht="13.5" thickBot="1">
      <c r="A26" s="57" t="s">
        <v>122</v>
      </c>
      <c r="B26" s="64">
        <f t="shared" si="0"/>
        <v>1.1464751453684132</v>
      </c>
      <c r="C26" s="106">
        <f>E26-'[1]EU - variety'!E26</f>
        <v>-5519</v>
      </c>
      <c r="D26" s="95">
        <f>F26-'[1]EU - variety'!F26</f>
        <v>-3074.7000000000007</v>
      </c>
      <c r="E26" s="60">
        <f>France!E$19+France!E$20+Italy!E$17+Switzerland!E$12</f>
        <v>36656</v>
      </c>
      <c r="F26" s="95">
        <f>France!F$19+France!F$20+Italy!F$17+Switzerland!F$12</f>
        <v>17077.3</v>
      </c>
      <c r="G26" s="95">
        <f>France!G$19+France!G$20+Italy!G$17+Switzerland!G$12</f>
        <v>29129.8</v>
      </c>
      <c r="H26" s="95">
        <f>France!H$19+France!H$20+Italy!H$17+Switzerland!H$12</f>
        <v>29976.4</v>
      </c>
      <c r="I26" s="95">
        <f>France!I$21+France!I$20+Italy!I$17+Switzerland!I$12</f>
        <v>42305</v>
      </c>
      <c r="J26" s="95">
        <f>France!J$21+France!J$20+Italy!J$17+Switzerland!J$12</f>
        <v>61281</v>
      </c>
      <c r="K26" s="95">
        <f>France!K$21+France!K$20+Italy!K$17+Switzerland!K$12</f>
        <v>25448.797382821795</v>
      </c>
      <c r="L26" s="95">
        <f>France!L$21+France!L$20+Italy!L$17+Switzerland!L$12</f>
        <v>44941.484325920945</v>
      </c>
      <c r="M26" s="95">
        <f>France!M$21+France!M$20+Italy!M$17+Switzerland!M$12</f>
        <v>45441.14318695674</v>
      </c>
      <c r="N26" s="97">
        <f>France!N$21+France!N$20+Italy!N$17+Switzerland!N$12</f>
        <v>48215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4" s="16" customFormat="1" ht="12.75">
      <c r="A27" s="57" t="s">
        <v>89</v>
      </c>
      <c r="B27" s="64">
        <f t="shared" si="0"/>
        <v>0.42468440446667505</v>
      </c>
      <c r="C27" s="106">
        <f>E27-'[1]EU - variety'!E27</f>
        <v>-30990</v>
      </c>
      <c r="D27" s="95">
        <f>F27-'[1]EU - variety'!F27</f>
        <v>-31272</v>
      </c>
      <c r="E27" s="60">
        <f>'Czech Republic'!E$9+Germany!E$17+Poland!E$15</f>
        <v>203368</v>
      </c>
      <c r="F27" s="95">
        <f>'Czech Republic'!F$9+Germany!F$17+Poland!F$15</f>
        <v>142746</v>
      </c>
      <c r="G27" s="95">
        <f>'Czech Republic'!G$9+Germany!G$17+Poland!G$15</f>
        <v>175418</v>
      </c>
      <c r="H27" s="95">
        <f>'Czech Republic'!H$9+Germany!H$17+Poland!H$15</f>
        <v>184601</v>
      </c>
      <c r="I27" s="95">
        <f>'Czech Republic'!I$9+Germany!I$17+Poland!I$15</f>
        <v>184422</v>
      </c>
      <c r="J27" s="95">
        <f>'Czech Republic'!J$9+Germany!J$17+Poland!J$15</f>
        <v>171728</v>
      </c>
      <c r="K27" s="95">
        <f>'Czech Republic'!K$9+Germany!K$17+Poland!K$15</f>
        <v>154592</v>
      </c>
      <c r="L27" s="95">
        <f>'Czech Republic'!L$9+Germany!L$17+Poland!L$15</f>
        <v>148764</v>
      </c>
      <c r="M27" s="95">
        <f>'Czech Republic'!M$9+Germany!M$17+Poland!M$15</f>
        <v>67687</v>
      </c>
      <c r="N27" s="97">
        <f>'Czech Republic'!N$9+Germany!N$17+Poland!N$15</f>
        <v>88879</v>
      </c>
    </row>
    <row r="28" spans="1:14" ht="12.75">
      <c r="A28" s="57" t="s">
        <v>21</v>
      </c>
      <c r="B28" s="64">
        <f t="shared" si="0"/>
        <v>0.04028289055899324</v>
      </c>
      <c r="C28" s="106">
        <f>E28-'[1]EU - variety'!E28</f>
        <v>-566</v>
      </c>
      <c r="D28" s="95">
        <f>F28-'[1]EU - variety'!F28</f>
        <v>-935.8288091908935</v>
      </c>
      <c r="E28" s="60">
        <f>Italy!E$18</f>
        <v>3611</v>
      </c>
      <c r="F28" s="95">
        <f>Italy!F$18</f>
        <v>3471.1711908091065</v>
      </c>
      <c r="G28" s="95">
        <f>Italy!G$18</f>
        <v>8110.2</v>
      </c>
      <c r="H28" s="95">
        <f>Italy!H$18</f>
        <v>7926.9</v>
      </c>
      <c r="I28" s="95">
        <f>Italy!I$18</f>
        <v>9723</v>
      </c>
      <c r="J28" s="95">
        <f>Italy!J$18</f>
        <v>6733</v>
      </c>
      <c r="K28" s="95">
        <f>Italy!K$18</f>
        <v>2716.2188436830834</v>
      </c>
      <c r="L28" s="95">
        <f>Italy!L$18</f>
        <v>7726.753544498343</v>
      </c>
      <c r="M28" s="95">
        <f>Italy!M$18</f>
        <v>0</v>
      </c>
      <c r="N28" s="97">
        <f>Italy!N$18</f>
        <v>5429</v>
      </c>
    </row>
    <row r="29" spans="1:14" ht="12.75">
      <c r="A29" s="57" t="s">
        <v>35</v>
      </c>
      <c r="B29" s="64">
        <f t="shared" si="0"/>
        <v>4.0625</v>
      </c>
      <c r="C29" s="106">
        <f>E29-'[1]EU - variety'!E29</f>
        <v>118</v>
      </c>
      <c r="D29" s="95">
        <f>F29-'[1]EU - variety'!F29</f>
        <v>-3</v>
      </c>
      <c r="E29" s="60">
        <f>'Czech Republic'!E$10+UK!E$9+Poland!E$16+Denmark!E$16</f>
        <v>162</v>
      </c>
      <c r="F29" s="95">
        <f>'Czech Republic'!F$10+UK!F$9+Poland!F$16+Denmark!F$16</f>
        <v>32</v>
      </c>
      <c r="G29" s="95">
        <f>'Czech Republic'!G$10+UK!G$9+Poland!G$16+Denmark!G$16</f>
        <v>24</v>
      </c>
      <c r="H29" s="95">
        <f>'Czech Republic'!H$10+UK!H$9+Poland!H$16+Denmark!H$16</f>
        <v>58</v>
      </c>
      <c r="I29" s="95">
        <f>'Czech Republic'!I$10+UK!I$9+Poland!I$16+Denmark!I$16</f>
        <v>103</v>
      </c>
      <c r="J29" s="95">
        <f>'Czech Republic'!J$10+UK!J$9+Poland!J$16+Denmark!J$16</f>
        <v>25</v>
      </c>
      <c r="K29" s="95">
        <f>'Czech Republic'!K$10+UK!K$9+Poland!K$16+Denmark!K$16</f>
        <v>277</v>
      </c>
      <c r="L29" s="95">
        <f>'Czech Republic'!L$10+UK!L$9+Poland!L$16+Denmark!L$16</f>
        <v>47</v>
      </c>
      <c r="M29" s="95">
        <f>'Czech Republic'!M$10+UK!M$9+Poland!M$16+Denmark!M$16</f>
        <v>88</v>
      </c>
      <c r="N29" s="97">
        <f>'Czech Republic'!N$10+UK!N$9+Poland!N$16+Denmark!N$16</f>
        <v>5116</v>
      </c>
    </row>
    <row r="30" spans="1:14" ht="12.75">
      <c r="A30" s="57" t="s">
        <v>123</v>
      </c>
      <c r="B30" s="64">
        <f t="shared" si="0"/>
        <v>0.45945993909252253</v>
      </c>
      <c r="C30" s="106">
        <f>E30-'[1]EU - variety'!E30</f>
        <v>-8111.498999999982</v>
      </c>
      <c r="D30" s="95">
        <f>F30-'[1]EU - variety'!F30</f>
        <v>-3129</v>
      </c>
      <c r="E30" s="60">
        <f>Austria!E$6+Denmark!E$17+France!E$2+France!E$24+France!E$17+France!E$15+France!E$13+Switzerland!E$17+UK!E$10+Germany!E$19+Netherlands!E$6</f>
        <v>133228.26</v>
      </c>
      <c r="F30" s="95">
        <f>Austria!F$6+Denmark!F$17+France!F$2+France!F$24+France!F$17+France!F$15+France!F$13+Switzerland!F$17+UK!F$10+Germany!F$19+Netherlands!F$6</f>
        <v>91286</v>
      </c>
      <c r="G30" s="95">
        <f>Austria!G$6+Denmark!G$17+France!G$2+France!G$24+France!G$17+France!G$15+France!G$13+Switzerland!G$17+UK!G$10+Germany!G$19+Netherlands!G$6</f>
        <v>102952.1</v>
      </c>
      <c r="H30" s="95">
        <f>Austria!H$6+Denmark!H$17+France!H$2+France!H$24+France!H$17+France!H$15+France!H$13+Switzerland!H$17+UK!H$10+Germany!H$19+Netherlands!H$6</f>
        <v>107034.98999999999</v>
      </c>
      <c r="I30" s="95">
        <f>Austria!I$6+Denmark!I$17+France!I$2+France!I$24+France!I$17+France!I$15+France!I$13+Switzerland!I$17+UK!I$10+Germany!I$19+Netherlands!I$6</f>
        <v>113516</v>
      </c>
      <c r="J30" s="95">
        <f>Austria!J$6+Denmark!J$17+France!J$2+France!J$24+France!J$17+France!J$15+France!J$13+Switzerland!J$17+UK!J$10+Germany!J$19+Netherlands!J$6</f>
        <v>104130.25</v>
      </c>
      <c r="K30" s="95">
        <f>Austria!K$6+Denmark!K$17+France!K$2+France!K$24+France!K$17+France!K$15+France!K$13+Switzerland!K$17+UK!K$10+Germany!K$19+Netherlands!K$6</f>
        <v>58521</v>
      </c>
      <c r="L30" s="95">
        <f>Austria!L$6+Denmark!L$17+France!L$2+France!L$24+France!L$17+France!L$15+France!L$13+Switzerland!L$17+UK!L$10+Germany!L$19+Netherlands!L$6</f>
        <v>66328</v>
      </c>
      <c r="M30" s="95">
        <f>Austria!M$6+Denmark!M$17+France!M$2+France!M$24+France!M$17+France!M$15+France!M$13+Switzerland!M$17+UK!M$10+Germany!M$19</f>
        <v>51050</v>
      </c>
      <c r="N30" s="97">
        <f>Austria!N$6+Denmark!N$17+France!N$2+France!N$24+France!N$17+France!N$15+France!N$13+Switzerland!N$17+UK!N$10+Germany!N$19</f>
        <v>46223</v>
      </c>
    </row>
    <row r="31" spans="1:16" ht="13.5" thickBot="1">
      <c r="A31" s="58" t="s">
        <v>6</v>
      </c>
      <c r="B31" s="65">
        <f t="shared" si="0"/>
        <v>0.8015258573357412</v>
      </c>
      <c r="C31" s="107">
        <f>E31-'[1]EU - variety'!E31</f>
        <v>-202608.468</v>
      </c>
      <c r="D31" s="96">
        <f>F31-'[1]EU - variety'!F31</f>
        <v>-63753.18749316386</v>
      </c>
      <c r="E31" s="61">
        <f>Austria!E$2+Austria!E$15+Austria!E$18+Austria!E$19+Austria!E$20+Belgium!E$9+'Czech Republic'!E$11+Denmark!E$3+Denmark!E$14+Denmark!E$11+Denmark!E$18+Germany!E$12+Germany!E$18+Germany!E$20+Italy!E$19+Spain!E$7+Switzerland!E$7+Switzerland!E$13+Switzerland!E$15+Switzerland!E$16+Switzerland!E$18+Netherlands!E$7+UK!E$11+France!E$3+France!E$7+France!E$22+France!E$23+France!E$25+Poland!E$10+Poland!E$17</f>
        <v>571710.29</v>
      </c>
      <c r="F31" s="96">
        <f>Austria!F$2+Austria!F$15+Austria!F$18+Austria!F$19+Austria!F$20+Belgium!F$9+'Czech Republic'!F$11+Denmark!F$3+Denmark!F$14+Denmark!F$11+Denmark!F$18+Germany!F$12+Germany!F$18+Germany!F$20+Italy!F$19+Spain!F$7+Switzerland!F$7+Switzerland!F$13+Switzerland!F$15+Switzerland!F$16+Switzerland!F$18+Netherlands!F$7+UK!F$11+France!F$3+France!F$7+France!F$22+France!F$23+France!F$25+Poland!F$10+Poland!F$17</f>
        <v>317347.81250683614</v>
      </c>
      <c r="G31" s="96">
        <f>Austria!G$2+Austria!G$15+Austria!G$18+Austria!G$19+Austria!G$20+Belgium!G$9+'Czech Republic'!G$11+Denmark!G$3+Denmark!G$14+Denmark!G$11+Denmark!G$18+Germany!G$12+Germany!G$18+Germany!G$20+Italy!G$19+Spain!G$7+Switzerland!G$7+Switzerland!G$13+Switzerland!G$15+Switzerland!G$16+Switzerland!G$18+Netherlands!G$7+UK!G$11+France!G$3+France!G$7+France!G$22+France!G$23+France!G$25+Poland!G$10+Poland!G$17</f>
        <v>463751.27</v>
      </c>
      <c r="H31" s="96">
        <f>Austria!H$2+Austria!H$15+Austria!H$18+Austria!H$19+Austria!H$20+Belgium!H$9+'Czech Republic'!H$11+Denmark!H$3+Denmark!H$14+Denmark!H$11+Denmark!H$18+Germany!H$12+Germany!H$18+Germany!H$20+Italy!H$19+Spain!H$7+Switzerland!H$7+Switzerland!H$13+Switzerland!H$15+Switzerland!H$16+Switzerland!H$18+Netherlands!H$7+UK!H$11+France!H$3+France!H$7+France!H$22+France!H$23+France!H$25+Poland!H$10+Poland!H$17</f>
        <v>504360.63</v>
      </c>
      <c r="I31" s="96">
        <f>Austria!I$2+Austria!I$15+Austria!I$18+Austria!I$19+Austria!I$20+Belgium!I$9+'Czech Republic'!I$11+Denmark!I$3+Denmark!I$14+Denmark!I$11+Denmark!I$18+Germany!I$12+Germany!I$18+Germany!I$20+Italy!I$19+Spain!I$7+Switzerland!I$7+Switzerland!I$13+Switzerland!I$15+Switzerland!I$16+Switzerland!I$18+Netherlands!I$7+UK!I$11+France!I$3+France!I$7+France!I$22+France!I$23+France!I$25+Poland!I$10+Poland!I$17</f>
        <v>489375</v>
      </c>
      <c r="J31" s="96">
        <f>Austria!J$2+Austria!J$6+Austria!J$15+Austria!J$18+Austria!J$19+Austria!J$20+Belgium!J$9+'Czech Republic'!J$11+Denmark!J$3+Denmark!J$14+Denmark!J$11+Denmark!J$18+Germany!J$12+Germany!J$18+Germany!J$20+Italy!J$19+Spain!J$7+Switzerland!J$7+Switzerland!J$13+Switzerland!J$15+Switzerland!J$16+Switzerland!J$18+Netherlands!J$7+UK!J$11+France!J$3+France!J$7+France!J$22+France!J$23+France!J$25+Poland!J$10+Poland!J$17</f>
        <v>371305.735</v>
      </c>
      <c r="K31" s="96">
        <f>Austria!K$2+Austria!K$15+Austria!K$18+Austria!K$19+Austria!K$20+Belgium!K$9+'Czech Republic'!K$11+Denmark!K$3+Denmark!K$14+Denmark!K$11+Denmark!K$18+Germany!K$12+Germany!K$18+Germany!K$20+Italy!K$19+Spain!K$7+Switzerland!K$7+Switzerland!K$13+Switzerland!K$15+Switzerland!K$16+Switzerland!K$18+Netherlands!K$7+UK!K$11+France!K$3+France!K$7+France!K$22+France!K$23+France!K$25+Poland!K$10+Poland!K$17</f>
        <v>381682.8792267428</v>
      </c>
      <c r="L31" s="96">
        <f>Austria!L$2+Austria!L$15+Austria!L$18+Austria!L$19+Austria!L$20+Belgium!L$9+'Czech Republic'!L$11+Denmark!L$3+Denmark!L$14+Denmark!L$11+Denmark!L$18+Germany!L$12+Germany!L$18+Germany!L$20+Italy!L$19+Spain!L$7+Switzerland!L$7+Switzerland!L$13+Switzerland!L$15+Switzerland!L$16+Switzerland!L$18+Netherlands!L$7+UK!L$11+France!L$3+France!L$7+France!L$22+France!L$23+France!L$25+Poland!L$17</f>
        <v>260064.57225637577</v>
      </c>
      <c r="M31" s="96">
        <f>Austria!M$2+Austria!M$15+Austria!M$18+Austria!M$19+Austria!M$20+Belgium!M$9+'Czech Republic'!M$11+Denmark!M$3+Denmark!M$14+Denmark!M$11+Denmark!M$18+Germany!M$12+Germany!M$18+Germany!M$20+Italy!M$19+Spain!M$7+Switzerland!M$7+Switzerland!M$13+Switzerland!M$15+Switzerland!M$16+Switzerland!M$18+Netherlands!M$7+UK!M$11+France!M$3+France!M$7+France!M$22+France!M$23+France!M$25+Poland!M$17</f>
        <v>180595.27509455156</v>
      </c>
      <c r="N31" s="98">
        <f>Austria!N$2+Austria!N$15+Austria!N$18+Austria!N$19+Austria!N$20+Belgium!N$9+'Czech Republic'!N$11+Denmark!N$3+Denmark!N$14+Denmark!N$11+Denmark!N$18+Germany!N$12+Germany!N$18+Germany!N$20+Italy!N$19+Spain!N$7+Switzerland!N$7+Switzerland!N$13+Switzerland!N$15+Switzerland!N$16+Switzerland!N$18+Netherlands!N$7+UK!N$11+France!N$3+France!N$7+France!N$22+France!N$23+France!N$25+Poland!N$17</f>
        <v>224700</v>
      </c>
      <c r="P31" s="3"/>
    </row>
    <row r="32" spans="1:14" ht="13.5" thickBot="1">
      <c r="A32" s="59" t="s">
        <v>92</v>
      </c>
      <c r="B32" s="110">
        <f>(E32-F32)/F32</f>
        <v>0.5172307620140209</v>
      </c>
      <c r="C32" s="69">
        <f>E32-'[1]EU - variety'!E32</f>
        <v>-533268.626132777</v>
      </c>
      <c r="D32" s="42">
        <f>F32-'[1]EU - variety'!F32</f>
        <v>-515372.4100172743</v>
      </c>
      <c r="E32" s="142">
        <f>SUM(E2:E31)</f>
        <v>4601699.589867223</v>
      </c>
      <c r="F32" s="42">
        <f>SUM(F2:F31)</f>
        <v>3032959.5899827257</v>
      </c>
      <c r="G32" s="130">
        <f>SUM(G2:G31)</f>
        <v>4182989.8077449617</v>
      </c>
      <c r="H32" s="130">
        <f>SUM(H2:H31)</f>
        <v>4406485.969425016</v>
      </c>
      <c r="I32" s="130">
        <f aca="true" t="shared" si="1" ref="I32:N32">SUM(I2:I31)</f>
        <v>4496172.412386112</v>
      </c>
      <c r="J32" s="130">
        <f t="shared" si="1"/>
        <v>4032951.4870311087</v>
      </c>
      <c r="K32" s="130">
        <f t="shared" si="1"/>
        <v>3443228.219509188</v>
      </c>
      <c r="L32" s="130">
        <f t="shared" si="1"/>
        <v>4099414.3699999996</v>
      </c>
      <c r="M32" s="130">
        <f t="shared" si="1"/>
        <v>3321244</v>
      </c>
      <c r="N32" s="135">
        <f t="shared" si="1"/>
        <v>3785218</v>
      </c>
    </row>
    <row r="33" spans="1:7" ht="12.75">
      <c r="A33" s="73" t="s">
        <v>153</v>
      </c>
      <c r="G33" s="9"/>
    </row>
    <row r="34" spans="2:14" ht="13.5" thickBot="1">
      <c r="B34" s="3"/>
      <c r="C34" s="3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4" s="73" customFormat="1" ht="13.5" thickBot="1">
      <c r="A35" s="71" t="s">
        <v>91</v>
      </c>
      <c r="B35" s="32" t="s">
        <v>177</v>
      </c>
      <c r="C35" s="66" t="s">
        <v>176</v>
      </c>
      <c r="D35" s="112" t="s">
        <v>173</v>
      </c>
      <c r="E35" s="171">
        <v>43466</v>
      </c>
      <c r="F35" s="33">
        <v>43101</v>
      </c>
      <c r="G35" s="33">
        <v>42736</v>
      </c>
      <c r="H35" s="33">
        <f>H1</f>
        <v>42370</v>
      </c>
      <c r="I35" s="33">
        <f>I1</f>
        <v>42005</v>
      </c>
      <c r="J35" s="33">
        <f>J1</f>
        <v>41640</v>
      </c>
      <c r="K35" s="33">
        <v>41275</v>
      </c>
      <c r="L35" s="33">
        <v>40909</v>
      </c>
      <c r="M35" s="33">
        <v>40544</v>
      </c>
      <c r="N35" s="52">
        <v>40179</v>
      </c>
    </row>
    <row r="36" spans="1:14" s="73" customFormat="1" ht="12.75">
      <c r="A36" s="136" t="s">
        <v>103</v>
      </c>
      <c r="B36" s="137">
        <f aca="true" t="shared" si="2" ref="B36:B44">(E36-F36)/F36</f>
        <v>-0.1664192636465849</v>
      </c>
      <c r="C36" s="185">
        <f>E36-'[1]EU - variety'!E36</f>
        <v>-26223.07633423616</v>
      </c>
      <c r="D36" s="138">
        <f>F36-'[1]EU - variety'!F36</f>
        <v>-31788.451465328224</v>
      </c>
      <c r="E36" s="76">
        <f>Italy!E$24</f>
        <v>130425</v>
      </c>
      <c r="F36" s="100">
        <f>Italy!F$24</f>
        <v>156463.54853467178</v>
      </c>
      <c r="G36" s="95">
        <f>Italy!G$24</f>
        <v>130788.4569127536</v>
      </c>
      <c r="H36" s="138">
        <f>Italy!H$24</f>
        <v>152025.30958227412</v>
      </c>
      <c r="I36" s="138">
        <f>Italy!I$24</f>
        <v>157420.8997005057</v>
      </c>
      <c r="J36" s="138">
        <f>Italy!J$24</f>
        <v>183915.8639063191</v>
      </c>
      <c r="K36" s="138">
        <f>Italy!K$24</f>
        <v>115632.2717924074</v>
      </c>
      <c r="L36" s="138">
        <f>Italy!L$24</f>
        <v>209185</v>
      </c>
      <c r="M36" s="138">
        <f>Italy!M$24</f>
        <v>77054.25249649963</v>
      </c>
      <c r="N36" s="139">
        <f>Italy!N$24</f>
        <v>100070</v>
      </c>
    </row>
    <row r="37" spans="1:14" s="73" customFormat="1" ht="12.75">
      <c r="A37" s="74" t="s">
        <v>38</v>
      </c>
      <c r="B37" s="75">
        <f t="shared" si="2"/>
        <v>-0.14039062215831793</v>
      </c>
      <c r="C37" s="104">
        <f>E37-'[1]EU - variety'!E37</f>
        <v>-309.5279573434882</v>
      </c>
      <c r="D37" s="100">
        <f>F37-'[1]EU - variety'!F37</f>
        <v>-1041</v>
      </c>
      <c r="E37" s="76">
        <f>Spain!E$12</f>
        <v>3450.472042656512</v>
      </c>
      <c r="F37" s="100">
        <f>Spain!F$12</f>
        <v>4014</v>
      </c>
      <c r="G37" s="95">
        <f>Spain!G$12</f>
        <v>3910.872131010896</v>
      </c>
      <c r="H37" s="100">
        <f>Spain!H$12</f>
        <v>3150.0488804605934</v>
      </c>
      <c r="I37" s="100">
        <f>Spain!I$12</f>
        <v>3397</v>
      </c>
      <c r="J37" s="100">
        <f>Spain!J$12</f>
        <v>7092.875685956342</v>
      </c>
      <c r="K37" s="100">
        <f>Spain!K$12</f>
        <v>3096.412049530042</v>
      </c>
      <c r="L37" s="100">
        <f>Spain!L$12</f>
        <v>7317</v>
      </c>
      <c r="M37" s="100">
        <f>Spain!M$12</f>
        <v>6917</v>
      </c>
      <c r="N37" s="102">
        <f>Spain!N$12</f>
        <v>6289</v>
      </c>
    </row>
    <row r="38" spans="1:14" s="70" customFormat="1" ht="12.75">
      <c r="A38" s="74" t="s">
        <v>39</v>
      </c>
      <c r="B38" s="75">
        <f t="shared" si="2"/>
        <v>-0.2757155904201364</v>
      </c>
      <c r="C38" s="104">
        <f>E38-'[1]EU - variety'!E38</f>
        <v>-705.4432518973254</v>
      </c>
      <c r="D38" s="100">
        <f>F38-'[1]EU - variety'!F38</f>
        <v>-2201</v>
      </c>
      <c r="E38" s="76">
        <f>Spain!E$13</f>
        <v>7356.556748102675</v>
      </c>
      <c r="F38" s="100">
        <f>Spain!F$13</f>
        <v>10157</v>
      </c>
      <c r="G38" s="95">
        <f>Spain!G$13</f>
        <v>11076.289876382929</v>
      </c>
      <c r="H38" s="100">
        <f>Spain!H$13</f>
        <v>8646.386958419102</v>
      </c>
      <c r="I38" s="100">
        <f>Spain!I$13</f>
        <v>12489</v>
      </c>
      <c r="J38" s="100">
        <f>Spain!J$13</f>
        <v>12510.793281343675</v>
      </c>
      <c r="K38" s="100">
        <f>Spain!K$13</f>
        <v>9076.109206672782</v>
      </c>
      <c r="L38" s="100">
        <f>Spain!L$13</f>
        <v>15725</v>
      </c>
      <c r="M38" s="100">
        <f>Spain!M$13</f>
        <v>22944</v>
      </c>
      <c r="N38" s="102">
        <f>Spain!N$13</f>
        <v>20736</v>
      </c>
    </row>
    <row r="39" spans="1:14" s="70" customFormat="1" ht="12.75">
      <c r="A39" s="74" t="s">
        <v>7</v>
      </c>
      <c r="B39" s="75">
        <f t="shared" si="2"/>
        <v>0.1955124645437845</v>
      </c>
      <c r="C39" s="104">
        <f>E39-'[1]EU - variety'!E39</f>
        <v>-60150.22822816833</v>
      </c>
      <c r="D39" s="100">
        <f>F39-'[1]EU - variety'!F39</f>
        <v>-61552.84935360303</v>
      </c>
      <c r="E39" s="76">
        <f>Belgium!E$15+Denmark!E$23+Italy!E$25+Poland!E$22+Spain!E$14+Switzerland!E$24+Netherlands!E$12+UK!E$16+'Czech Republic'!E$16+France!E$32</f>
        <v>527389.744220955</v>
      </c>
      <c r="F39" s="100">
        <f>Belgium!F$15+Denmark!F$23+Italy!F$25+Poland!F$22+Spain!F$14+Switzerland!F$24+Netherlands!F$12+UK!F$16+'Czech Republic'!F$16+France!F$32</f>
        <v>441141.15064639697</v>
      </c>
      <c r="G39" s="95">
        <f>Belgium!G$15+Denmark!G$23+Italy!G$25+Poland!G$22+Spain!G$14+Switzerland!G$24+Netherlands!G$12+UK!G$16+'Czech Republic'!G$16+France!G$32</f>
        <v>464493.8339579743</v>
      </c>
      <c r="H39" s="100">
        <f>Belgium!H$15+Denmark!H$23+Italy!H$25+Poland!H$22+Spain!H$14+Switzerland!H$24+Netherlands!H$12+UK!H$16+'Czech Republic'!H$16+France!H$32</f>
        <v>512142.6481812393</v>
      </c>
      <c r="I39" s="100">
        <f>Belgium!I$15+Denmark!I$23+Italy!I$25+Poland!I$22+Spain!I$14+Switzerland!I$24+Netherlands!I$12+UK!I$16+'Czech Republic'!I$16+France!I$32</f>
        <v>479920.63094529416</v>
      </c>
      <c r="J39" s="100">
        <f>Belgium!J$15+Denmark!J$23+Italy!J$25+Poland!J$22+Spain!J$14+Switzerland!J$24+Netherlands!J$12+UK!J$16+'Czech Republic'!J$16+France!J$32</f>
        <v>488520.9362730751</v>
      </c>
      <c r="K39" s="100">
        <f>Belgium!K$15+Denmark!K$23+Italy!K$25+Poland!K$22+Spain!K$14+Switzerland!K$24+Netherlands!K$12+UK!K$16+'Czech Republic'!K$16+France!K$32</f>
        <v>313904.88996355707</v>
      </c>
      <c r="L39" s="100">
        <f>Belgium!L$15+Denmark!L$23+Italy!L$25+Poland!L$22+Spain!L$14+Switzerland!L$24+Netherlands!L$12+UK!L$16+'Czech Republic'!L$16+France!L$32</f>
        <v>482116</v>
      </c>
      <c r="M39" s="100">
        <f>Belgium!M$15+Denmark!M$23+Italy!M$25+Poland!M$22+Spain!M$14+Switzerland!M$24+Netherlands!M$12+UK!M$16+'Czech Republic'!M$16+France!M$32</f>
        <v>381415.5270526947</v>
      </c>
      <c r="N39" s="102">
        <f>Belgium!N$15+Denmark!N$23+Italy!N$25+Poland!N$22+Spain!N$14+Switzerland!N$24+Netherlands!N$12+UK!N$16+'Czech Republic'!N$16+France!N$32</f>
        <v>414994</v>
      </c>
    </row>
    <row r="40" spans="1:14" s="70" customFormat="1" ht="12.75">
      <c r="A40" s="74" t="s">
        <v>93</v>
      </c>
      <c r="B40" s="75">
        <f t="shared" si="2"/>
        <v>0.9496811312715324</v>
      </c>
      <c r="C40" s="104">
        <f>E40-'[1]EU - variety'!E40</f>
        <v>-8745.57350152736</v>
      </c>
      <c r="D40" s="100">
        <f>F40-'[1]EU - variety'!F40</f>
        <v>-7399.328964784758</v>
      </c>
      <c r="E40" s="76">
        <f>Belgium!E$16+Italy!E$26+Poland!E$23+Netherlands!E$13+UK!E$17+France!E$33+Denmark!E$24</f>
        <v>25121</v>
      </c>
      <c r="F40" s="100">
        <f>Belgium!F$16+Italy!F$26+Poland!F$23+Netherlands!F$13+UK!F$17+France!F$33+Denmark!F$24</f>
        <v>12884.671035215242</v>
      </c>
      <c r="G40" s="95">
        <f>Belgium!G$16+Italy!G$26+Poland!G$23+Netherlands!G$13+UK!G$17+France!G$33+Denmark!G$24</f>
        <v>20686.530272668802</v>
      </c>
      <c r="H40" s="100">
        <f>Belgium!H$16+Italy!H$26+Poland!H$23+Netherlands!H$13+UK!H$17+France!H$33+Denmark!H$24</f>
        <v>30871.908006360754</v>
      </c>
      <c r="I40" s="100">
        <f>Belgium!I$16+Italy!I$26+Poland!I$23+Netherlands!I$13+UK!I$17+France!I$33+Denmark!I$24</f>
        <v>28748.571270682565</v>
      </c>
      <c r="J40" s="100">
        <f>Belgium!J$16+Italy!J$26+Poland!J$23+Netherlands!J$13+UK!J$17+France!J$33+Denmark!J$24</f>
        <v>33574.364154566785</v>
      </c>
      <c r="K40" s="100">
        <f>Belgium!K$16+Italy!K$26+Poland!K$23+Netherlands!K$13+UK!K$17+France!K$33+Denmark!K$24</f>
        <v>13648.531206703541</v>
      </c>
      <c r="L40" s="100">
        <f>Belgium!L$16+Italy!L$26+Poland!L$23+Netherlands!L$13+UK!L$17+France!L$33+Denmark!L$24</f>
        <v>34502</v>
      </c>
      <c r="M40" s="100">
        <f>Belgium!M$16+Italy!M$26+Poland!M$23+Netherlands!M$13+UK!M$17+France!M$33+Denmark!M$24</f>
        <v>26067.24884970367</v>
      </c>
      <c r="N40" s="102">
        <f>Belgium!N$16+Italy!N$26+Poland!N$23+Netherlands!N$13+UK!N$17+France!N$33+Denmark!N$24</f>
        <v>37449</v>
      </c>
    </row>
    <row r="41" spans="1:14" s="70" customFormat="1" ht="12.75">
      <c r="A41" s="74" t="s">
        <v>30</v>
      </c>
      <c r="B41" s="75">
        <f t="shared" si="2"/>
        <v>-0.08679591241937286</v>
      </c>
      <c r="C41" s="104">
        <f>E41-'[1]EU - variety'!E41</f>
        <v>-3868.8092592866633</v>
      </c>
      <c r="D41" s="100">
        <f>F41-'[1]EU - variety'!F41</f>
        <v>-3401.2341712995985</v>
      </c>
      <c r="E41" s="76">
        <f>Italy!E$27</f>
        <v>20251</v>
      </c>
      <c r="F41" s="100">
        <f>Italy!F$27</f>
        <v>22175.7658287004</v>
      </c>
      <c r="G41" s="95">
        <f>Italy!G$27</f>
        <v>17311.58733279713</v>
      </c>
      <c r="H41" s="100">
        <f>Italy!H$27</f>
        <v>27813.306338990104</v>
      </c>
      <c r="I41" s="100">
        <f>Italy!I$27</f>
        <v>19395.120896159497</v>
      </c>
      <c r="J41" s="100">
        <f>Italy!J$27</f>
        <v>36312.9464988427</v>
      </c>
      <c r="K41" s="100">
        <f>Italy!K$27</f>
        <v>20022.50481451052</v>
      </c>
      <c r="L41" s="100">
        <f>Italy!L$27</f>
        <v>36028</v>
      </c>
      <c r="M41" s="100">
        <f>Italy!M$27</f>
        <v>16021.007254216986</v>
      </c>
      <c r="N41" s="102">
        <f>Italy!N$27</f>
        <v>32696</v>
      </c>
    </row>
    <row r="42" spans="1:14" s="70" customFormat="1" ht="12.75">
      <c r="A42" s="74" t="s">
        <v>151</v>
      </c>
      <c r="B42" s="75">
        <f t="shared" si="2"/>
        <v>0.06325288562434418</v>
      </c>
      <c r="C42" s="104">
        <f>E42-'[1]EU - variety'!E42</f>
        <v>75996</v>
      </c>
      <c r="D42" s="100">
        <f>F42-'[1]EU - variety'!F42</f>
        <v>71475</v>
      </c>
      <c r="E42" s="76">
        <f>Portugal!E$13</f>
        <v>75996</v>
      </c>
      <c r="F42" s="100">
        <f>Portugal!F$13</f>
        <v>71475</v>
      </c>
      <c r="G42" s="95">
        <f>Portugal!G$13</f>
        <v>59851</v>
      </c>
      <c r="H42" s="100">
        <f>Portugal!H$13</f>
        <v>47466</v>
      </c>
      <c r="I42" s="100">
        <f>Portugal!I$13</f>
        <v>80378</v>
      </c>
      <c r="J42" s="100">
        <f>Portugal!J$13</f>
        <v>83498</v>
      </c>
      <c r="K42" s="100">
        <f>Portugal!K$13</f>
        <v>31792</v>
      </c>
      <c r="L42" s="100">
        <f>Portugal!L$13</f>
        <v>70946</v>
      </c>
      <c r="M42" s="100">
        <f>Portugal!O$13</f>
        <v>0</v>
      </c>
      <c r="N42" s="102">
        <f>Portugal!P$13</f>
        <v>0</v>
      </c>
    </row>
    <row r="43" spans="1:14" s="70" customFormat="1" ht="13.5" thickBot="1">
      <c r="A43" s="78" t="s">
        <v>6</v>
      </c>
      <c r="B43" s="79">
        <f t="shared" si="2"/>
        <v>0.7161994596249631</v>
      </c>
      <c r="C43" s="105">
        <f>E43-'[1]EU - variety'!E43</f>
        <v>-34357.634863564424</v>
      </c>
      <c r="D43" s="101">
        <f>F43-'[1]EU - variety'!F43</f>
        <v>-21555</v>
      </c>
      <c r="E43" s="80">
        <f>Belgium!E$17+Belgium!E$18+Denmark!E$25+Germany!E$25+Italy!E$28+Poland!E$24+Spain!E$15+Spain!E$16+Switzerland!E$23+Switzerland!E$25+Switzerland!E$26+Switzerland!E$27+Netherlands!E$14+UK!E$18+'Czech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</f>
        <v>68284.14409955803</v>
      </c>
      <c r="F43" s="101">
        <f>Belgium!F$17+Belgium!F$18+Denmark!F$25+Germany!F$25+Italy!F$28+Poland!F$24+Spain!F$15+Spain!F$16+Switzerland!F$23+Switzerland!F$25+Switzerland!F$26+Switzerland!F$27+Netherlands!F$14+UK!F$18+'Czech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</f>
        <v>39788</v>
      </c>
      <c r="G43" s="95">
        <f>Belgium!G$17+Belgium!G$18+Denmark!G$25+Germany!G$25+Italy!G$28+Poland!G$24+Spain!G$15+Spain!G$16+Switzerland!G$23+Switzerland!G$25+Switzerland!G$26+Switzerland!G$27+Netherlands!G$14+UK!G$18+'Czech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45450.16279683698</v>
      </c>
      <c r="H43" s="101">
        <f>Belgium!H$17+Belgium!H$18+Denmark!H$25+Germany!H$25+Italy!H$28+Poland!H$24+Spain!H$15+Spain!H$16+Switzerland!H$23+Switzerland!H$25+Switzerland!H$26+Switzerland!H$27+Netherlands!H$14+UK!H$18+'Czech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49716.02504243575</v>
      </c>
      <c r="I43" s="101">
        <f>Belgium!I$18+Denmark!I$25+Germany!I$25+Italy!I$28+Poland!I$24+Spain!I$15+Spain!I$16+Switzerland!I$23+Switzerland!I$25+Switzerland!I$27+Netherlands!I$14+UK!I$18+'Czech Republic'!I$17+'Czech Republic'!I$18+'Czech Republic'!I$19+'Czech Republic'!I$20+France!I$31+France!I$35+France!I$36+France!I$37+France!I$30</f>
        <v>51930.65144941668</v>
      </c>
      <c r="J43" s="101">
        <f>Belgium!J$18+Denmark!J$25+Germany!J$25+Italy!J$28+Poland!J$24+Spain!J$15+Spain!J$16+Switzerland!J$23+Switzerland!J$25+Switzerland!J$27+Netherlands!J$14+UK!J$18+'Czech Republic'!J$17+'Czech Republic'!J$18+'Czech Republic'!J$19+'Czech Republic'!J$20+France!J$31+France!J$35+France!J$36+France!J$37+France!J$30</f>
        <v>80987.9322914515</v>
      </c>
      <c r="K43" s="101">
        <f>Belgium!K$18+Denmark!K$25+Germany!K$25+Italy!K$28+Poland!K$24+Spain!K$15+Spain!K$16+Switzerland!K$23+Switzerland!K$25+Switzerland!K$27+Netherlands!K$14+UK!K$18+'Czech Republic'!K$17+'Czech Republic'!K$18+'Czech Republic'!K$19+'Czech Republic'!K$20+France!K$31+France!K$35+France!K$36+France!K$37+France!K$30</f>
        <v>38005.23934763789</v>
      </c>
      <c r="L43" s="101">
        <f>Belgium!L$18+Denmark!L$25+Germany!L$25+Italy!L$28+Poland!L$24+Spain!L$15+Spain!L$16+Switzerland!L$23+Switzerland!L$25+Switzerland!L$27+Netherlands!L$14+UK!L$18+'Czech Republic'!L$17+'Czech Republic'!L$18+'Czech Republic'!L$19+'Czech Republic'!L$20+France!L$31+France!L$35+France!L$36+France!L$37+France!L$30</f>
        <v>51378</v>
      </c>
      <c r="M43" s="101">
        <f>Belgium!M$18+Denmark!M$25+Germany!M$25+Italy!M$28+Poland!M$24+Spain!M$15+Spain!M$16+Switzerland!M$23+Switzerland!M$25+Switzerland!M$27+Netherlands!M$14+UK!M$18+'Czech Republic'!M$17+'Czech Republic'!M$18+'Czech Republic'!M$19+'Czech Republic'!M$20+France!M$31+France!M$35+France!M$36+France!M$37+France!M$30</f>
        <v>32163.559612225043</v>
      </c>
      <c r="N43" s="103">
        <f>Belgium!N$18+Denmark!N$25+Germany!N$25+Italy!N$28+Poland!N$24+Spain!N$15+Spain!N$16+Switzerland!N$23+Switzerland!N$25+Switzerland!N$27+Netherlands!N$14+UK!N$18+'Czech Republic'!N$17+'Czech Republic'!N$18+'Czech Republic'!N$19+'Czech Republic'!N$20+France!N$31+France!N$35+France!N$36+France!N$37+France!N$30</f>
        <v>45765</v>
      </c>
    </row>
    <row r="44" spans="1:14" s="70" customFormat="1" ht="13.5" thickBot="1">
      <c r="A44" s="82" t="s">
        <v>92</v>
      </c>
      <c r="B44" s="133">
        <f t="shared" si="2"/>
        <v>0.13213942122253464</v>
      </c>
      <c r="C44" s="186">
        <f>E44-'[1]EU - variety'!E44</f>
        <v>-58364.293396023684</v>
      </c>
      <c r="D44" s="143">
        <f>F44-'[1]EU - variety'!F44</f>
        <v>-57463.863955015666</v>
      </c>
      <c r="E44" s="172">
        <f>SUM(E36:E43)</f>
        <v>858273.9171112721</v>
      </c>
      <c r="F44" s="143">
        <f>SUM(F36:F43)</f>
        <v>758099.1360449843</v>
      </c>
      <c r="G44" s="120">
        <f>SUM(G36:G43)</f>
        <v>753568.7332804246</v>
      </c>
      <c r="H44" s="120">
        <f>SUM(H36:H43)</f>
        <v>831831.6329901797</v>
      </c>
      <c r="I44" s="120">
        <f aca="true" t="shared" si="3" ref="I44:N44">SUM(I36:I43)</f>
        <v>833679.8742620585</v>
      </c>
      <c r="J44" s="120">
        <f t="shared" si="3"/>
        <v>926413.7120915552</v>
      </c>
      <c r="K44" s="120">
        <f t="shared" si="3"/>
        <v>545177.9583810193</v>
      </c>
      <c r="L44" s="120">
        <f t="shared" si="3"/>
        <v>907197</v>
      </c>
      <c r="M44" s="120">
        <f t="shared" si="3"/>
        <v>562582.59526534</v>
      </c>
      <c r="N44" s="140">
        <f t="shared" si="3"/>
        <v>657999</v>
      </c>
    </row>
    <row r="45" spans="1:14" s="70" customFormat="1" ht="12.75">
      <c r="A45" s="3" t="s">
        <v>162</v>
      </c>
      <c r="D45" s="132"/>
      <c r="E45" s="132"/>
      <c r="F45" s="132"/>
      <c r="H45" s="132"/>
      <c r="I45" s="132"/>
      <c r="J45" s="132"/>
      <c r="K45" s="132"/>
      <c r="L45" s="132"/>
      <c r="M45" s="132"/>
      <c r="N45" s="132"/>
    </row>
    <row r="46" spans="1:14" s="70" customFormat="1" ht="12.75">
      <c r="A46" s="73"/>
      <c r="D46" s="132"/>
      <c r="E46" s="132"/>
      <c r="F46" s="132"/>
      <c r="H46" s="132"/>
      <c r="I46" s="132"/>
      <c r="J46" s="132"/>
      <c r="K46" s="132"/>
      <c r="L46" s="132"/>
      <c r="M46" s="132"/>
      <c r="N46" s="132"/>
    </row>
    <row r="47" spans="4:14" s="70" customFormat="1" ht="12.75">
      <c r="D47" s="132"/>
      <c r="E47" s="132"/>
      <c r="F47" s="132"/>
      <c r="H47" s="132"/>
      <c r="I47" s="132"/>
      <c r="J47" s="132"/>
      <c r="K47" s="132"/>
      <c r="L47" s="132"/>
      <c r="M47" s="132"/>
      <c r="N47" s="132"/>
    </row>
  </sheetData>
  <sheetProtection/>
  <printOptions/>
  <pageMargins left="0.75" right="0.75" top="1" bottom="1" header="0.5" footer="0.5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2.00390625" style="0" customWidth="1"/>
    <col min="4" max="4" width="11.57421875" style="9" bestFit="1" customWidth="1"/>
    <col min="5" max="5" width="11.57421875" style="9" customWidth="1"/>
    <col min="6" max="6" width="10.8515625" style="9" customWidth="1"/>
    <col min="7" max="7" width="10.140625" style="0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33">
        <v>39814</v>
      </c>
      <c r="P1" s="33">
        <v>39448</v>
      </c>
      <c r="Q1" s="34">
        <v>39083</v>
      </c>
    </row>
    <row r="2" spans="1:17" ht="12.75">
      <c r="A2" s="27" t="s">
        <v>94</v>
      </c>
      <c r="B2" s="35">
        <f>(E2-F2)/F2</f>
        <v>1.7193023255813953</v>
      </c>
      <c r="C2" s="67">
        <f>E2-'[1]Austria'!E2</f>
        <v>-35.49000000000001</v>
      </c>
      <c r="D2" s="13">
        <f>F2-'[1]Austria'!F2</f>
        <v>-36</v>
      </c>
      <c r="E2" s="149">
        <v>818.51</v>
      </c>
      <c r="F2" s="13">
        <f>278+23</f>
        <v>301</v>
      </c>
      <c r="G2" s="13">
        <v>8</v>
      </c>
      <c r="H2" s="13">
        <v>1347.16</v>
      </c>
      <c r="I2" s="13">
        <v>1712</v>
      </c>
      <c r="J2" s="13">
        <v>1582.5</v>
      </c>
      <c r="K2" s="13">
        <v>1626</v>
      </c>
      <c r="L2" s="13">
        <v>2013</v>
      </c>
      <c r="M2" s="13">
        <v>2305</v>
      </c>
      <c r="N2" s="13">
        <v>2169</v>
      </c>
      <c r="O2" s="13">
        <v>3334</v>
      </c>
      <c r="P2" s="13">
        <v>2744</v>
      </c>
      <c r="Q2" s="37">
        <v>2360</v>
      </c>
    </row>
    <row r="3" spans="1:17" ht="12.75">
      <c r="A3" s="27" t="s">
        <v>4</v>
      </c>
      <c r="B3" s="35">
        <f aca="true" t="shared" si="0" ref="B3:B21">(E3-F3)/F3</f>
        <v>9.9</v>
      </c>
      <c r="C3" s="67">
        <f>E3-'[1]Austria'!E3</f>
        <v>-72.3</v>
      </c>
      <c r="D3" s="13">
        <f>F3-'[1]Austria'!F3</f>
        <v>-7</v>
      </c>
      <c r="E3" s="149">
        <v>32.7</v>
      </c>
      <c r="F3" s="13">
        <f>3</f>
        <v>3</v>
      </c>
      <c r="G3" s="13">
        <v>0</v>
      </c>
      <c r="H3" s="13">
        <v>14.17</v>
      </c>
      <c r="I3" s="13">
        <v>8</v>
      </c>
      <c r="J3" s="13">
        <v>33.79</v>
      </c>
      <c r="K3" s="13">
        <v>0</v>
      </c>
      <c r="L3" s="13">
        <v>17</v>
      </c>
      <c r="M3" s="13">
        <v>0</v>
      </c>
      <c r="N3" s="13">
        <v>9</v>
      </c>
      <c r="O3" s="13">
        <v>8</v>
      </c>
      <c r="P3" s="13"/>
      <c r="Q3" s="37"/>
    </row>
    <row r="4" spans="1:17" ht="12.75">
      <c r="A4" s="27" t="s">
        <v>11</v>
      </c>
      <c r="B4" s="35">
        <f t="shared" si="0"/>
        <v>1.5812655931050124</v>
      </c>
      <c r="C4" s="67">
        <f>E4-'[1]Austria'!E4</f>
        <v>-511.2000000000007</v>
      </c>
      <c r="D4" s="13">
        <f>F4-'[1]Austria'!F4</f>
        <v>-1010</v>
      </c>
      <c r="E4" s="149">
        <v>11380.8</v>
      </c>
      <c r="F4" s="13">
        <f>3749+660</f>
        <v>4409</v>
      </c>
      <c r="G4" s="13">
        <v>2023.16</v>
      </c>
      <c r="H4" s="13">
        <v>11532.35</v>
      </c>
      <c r="I4" s="13">
        <v>11718</v>
      </c>
      <c r="J4" s="13">
        <v>12370.26</v>
      </c>
      <c r="K4" s="13">
        <v>10455</v>
      </c>
      <c r="L4" s="13">
        <v>14507.16</v>
      </c>
      <c r="M4" s="13">
        <v>14394</v>
      </c>
      <c r="N4" s="13">
        <v>14973</v>
      </c>
      <c r="O4" s="13">
        <v>11594</v>
      </c>
      <c r="P4" s="13">
        <v>10602</v>
      </c>
      <c r="Q4" s="37">
        <v>9039</v>
      </c>
    </row>
    <row r="5" spans="1:17" ht="12.75">
      <c r="A5" s="27" t="s">
        <v>2</v>
      </c>
      <c r="B5" s="35">
        <f t="shared" si="0"/>
        <v>3.0932284172661872</v>
      </c>
      <c r="C5" s="67">
        <f>E5-'[1]Austria'!E5</f>
        <v>-322.3299999999999</v>
      </c>
      <c r="D5" s="13">
        <f>F5-'[1]Austria'!F5</f>
        <v>-506</v>
      </c>
      <c r="E5" s="149">
        <v>4551.67</v>
      </c>
      <c r="F5" s="13">
        <f>1112</f>
        <v>1112</v>
      </c>
      <c r="G5" s="13">
        <v>33.79</v>
      </c>
      <c r="H5" s="13">
        <v>2545.06</v>
      </c>
      <c r="I5" s="13">
        <v>2678</v>
      </c>
      <c r="J5" s="13">
        <v>2694.24</v>
      </c>
      <c r="K5" s="13">
        <v>2497</v>
      </c>
      <c r="L5" s="13">
        <v>4445.7</v>
      </c>
      <c r="M5" s="13">
        <v>3635</v>
      </c>
      <c r="N5" s="13">
        <v>4094</v>
      </c>
      <c r="O5" s="13">
        <v>3453</v>
      </c>
      <c r="P5" s="13">
        <v>4206</v>
      </c>
      <c r="Q5" s="37">
        <v>4878</v>
      </c>
    </row>
    <row r="6" spans="1:17" ht="12.75">
      <c r="A6" s="27" t="s">
        <v>144</v>
      </c>
      <c r="B6" s="35">
        <f t="shared" si="0"/>
        <v>0.7844667923737692</v>
      </c>
      <c r="C6" s="67">
        <f>E6-'[1]Austria'!E6</f>
        <v>-380.7399999999998</v>
      </c>
      <c r="D6" s="13">
        <f>F6-'[1]Austria'!F6</f>
        <v>-209</v>
      </c>
      <c r="E6" s="149">
        <v>8517.26</v>
      </c>
      <c r="F6" s="13">
        <v>4773</v>
      </c>
      <c r="G6" s="13">
        <v>2823.1</v>
      </c>
      <c r="H6" s="13">
        <v>5897.99</v>
      </c>
      <c r="I6" s="13">
        <v>5064</v>
      </c>
      <c r="J6" s="13">
        <v>3188.25</v>
      </c>
      <c r="K6" s="13">
        <v>2119</v>
      </c>
      <c r="L6" s="13">
        <v>2383</v>
      </c>
      <c r="M6" s="13">
        <v>926</v>
      </c>
      <c r="N6" s="13"/>
      <c r="O6" s="13"/>
      <c r="P6" s="13"/>
      <c r="Q6" s="37"/>
    </row>
    <row r="7" spans="1:17" ht="12.75">
      <c r="A7" s="29" t="s">
        <v>12</v>
      </c>
      <c r="B7" s="35">
        <f t="shared" si="0"/>
        <v>0.9501924353019244</v>
      </c>
      <c r="C7" s="67">
        <f>E7-'[1]Austria'!E7</f>
        <v>-224.05999999999995</v>
      </c>
      <c r="D7" s="13">
        <f>F7-'[1]Austria'!F7</f>
        <v>-179</v>
      </c>
      <c r="E7" s="149">
        <v>2938.94</v>
      </c>
      <c r="F7" s="13">
        <v>1507</v>
      </c>
      <c r="G7" s="113">
        <v>559.17</v>
      </c>
      <c r="H7" s="113">
        <v>2630.17</v>
      </c>
      <c r="I7" s="113">
        <v>2696</v>
      </c>
      <c r="J7" s="113">
        <v>2302.48</v>
      </c>
      <c r="K7" s="113">
        <v>1863</v>
      </c>
      <c r="L7" s="113">
        <v>2805</v>
      </c>
      <c r="M7" s="113">
        <v>754</v>
      </c>
      <c r="N7" s="113">
        <v>3005</v>
      </c>
      <c r="O7" s="113">
        <v>1327</v>
      </c>
      <c r="P7" s="13"/>
      <c r="Q7" s="37"/>
    </row>
    <row r="8" spans="1:17" ht="12.75">
      <c r="A8" s="27" t="s">
        <v>9</v>
      </c>
      <c r="B8" s="35">
        <f t="shared" si="0"/>
        <v>1.0621278748850047</v>
      </c>
      <c r="C8" s="67">
        <f>E8-'[1]Austria'!E8</f>
        <v>-2826.6699999999983</v>
      </c>
      <c r="D8" s="13">
        <f>F8-'[1]Austria'!F8</f>
        <v>-1805</v>
      </c>
      <c r="E8" s="149">
        <v>22415.33</v>
      </c>
      <c r="F8" s="13">
        <f>9565+1305</f>
        <v>10870</v>
      </c>
      <c r="G8" s="13">
        <v>1371.6</v>
      </c>
      <c r="H8" s="13">
        <v>23364.29</v>
      </c>
      <c r="I8" s="13">
        <v>18248</v>
      </c>
      <c r="J8" s="13">
        <v>20857.19</v>
      </c>
      <c r="K8" s="13">
        <v>16041</v>
      </c>
      <c r="L8" s="13">
        <v>23225.18</v>
      </c>
      <c r="M8" s="13">
        <v>23769</v>
      </c>
      <c r="N8" s="13">
        <v>19088</v>
      </c>
      <c r="O8" s="13">
        <v>17434</v>
      </c>
      <c r="P8" s="13">
        <v>16396</v>
      </c>
      <c r="Q8" s="37">
        <v>10852</v>
      </c>
    </row>
    <row r="9" spans="1:17" ht="12.75">
      <c r="A9" s="27" t="s">
        <v>14</v>
      </c>
      <c r="B9" s="35"/>
      <c r="C9" s="67">
        <f>E9-'[1]Austria'!E9</f>
        <v>0</v>
      </c>
      <c r="D9" s="13">
        <f>F9-'[1]Austria'!F9</f>
        <v>0</v>
      </c>
      <c r="E9" s="149">
        <v>0</v>
      </c>
      <c r="F9" s="13">
        <v>0</v>
      </c>
      <c r="G9" s="13">
        <v>0</v>
      </c>
      <c r="H9" s="13">
        <v>0</v>
      </c>
      <c r="I9" s="13">
        <v>0</v>
      </c>
      <c r="J9" s="13"/>
      <c r="K9" s="13"/>
      <c r="L9" s="13"/>
      <c r="M9" s="13">
        <v>0</v>
      </c>
      <c r="N9" s="13">
        <v>266</v>
      </c>
      <c r="O9" s="13">
        <v>136</v>
      </c>
      <c r="P9" s="13">
        <v>534</v>
      </c>
      <c r="Q9" s="37">
        <v>314</v>
      </c>
    </row>
    <row r="10" spans="1:17" ht="12.75">
      <c r="A10" s="27" t="s">
        <v>3</v>
      </c>
      <c r="B10" s="35">
        <f t="shared" si="0"/>
        <v>0.0934893288763178</v>
      </c>
      <c r="C10" s="67">
        <f>E10-'[1]Austria'!E10</f>
        <v>-2158.5200000000004</v>
      </c>
      <c r="D10" s="13">
        <f>F10-'[1]Austria'!F10</f>
        <v>-2304</v>
      </c>
      <c r="E10" s="149">
        <v>25515.48</v>
      </c>
      <c r="F10" s="13">
        <f>22628+706</f>
        <v>23334</v>
      </c>
      <c r="G10" s="13">
        <v>18004.25</v>
      </c>
      <c r="H10" s="13">
        <v>39852.02</v>
      </c>
      <c r="I10" s="13">
        <v>47133</v>
      </c>
      <c r="J10" s="13">
        <v>32874.01</v>
      </c>
      <c r="K10" s="13">
        <v>41874</v>
      </c>
      <c r="L10" s="13">
        <v>50308.11</v>
      </c>
      <c r="M10" s="13">
        <v>45971</v>
      </c>
      <c r="N10" s="13">
        <v>42076</v>
      </c>
      <c r="O10" s="13">
        <v>45633</v>
      </c>
      <c r="P10" s="13">
        <v>43868</v>
      </c>
      <c r="Q10" s="37">
        <v>36928</v>
      </c>
    </row>
    <row r="11" spans="1:17" ht="12.75">
      <c r="A11" s="27" t="s">
        <v>17</v>
      </c>
      <c r="B11" s="35">
        <f t="shared" si="0"/>
        <v>0.7774226804123711</v>
      </c>
      <c r="C11" s="67">
        <f>E11-'[1]Austria'!E11</f>
        <v>-54.59</v>
      </c>
      <c r="D11" s="13">
        <f>F11-'[1]Austria'!F11</f>
        <v>-63</v>
      </c>
      <c r="E11" s="149">
        <v>172.41</v>
      </c>
      <c r="F11" s="13">
        <v>97</v>
      </c>
      <c r="G11" s="113">
        <v>58.86</v>
      </c>
      <c r="H11" s="113">
        <v>155.87</v>
      </c>
      <c r="I11" s="113">
        <v>748</v>
      </c>
      <c r="J11" s="113">
        <v>179.85</v>
      </c>
      <c r="K11" s="113">
        <v>82</v>
      </c>
      <c r="L11" s="113">
        <v>155</v>
      </c>
      <c r="M11" s="113">
        <v>205</v>
      </c>
      <c r="N11" s="113">
        <v>50</v>
      </c>
      <c r="O11" s="113">
        <v>79</v>
      </c>
      <c r="P11" s="13"/>
      <c r="Q11" s="37"/>
    </row>
    <row r="12" spans="1:17" ht="12.75">
      <c r="A12" s="28" t="s">
        <v>10</v>
      </c>
      <c r="B12" s="35">
        <f t="shared" si="0"/>
        <v>1.529821384878884</v>
      </c>
      <c r="C12" s="67">
        <f>E12-'[1]Austria'!E12</f>
        <v>-285.6200000000008</v>
      </c>
      <c r="D12" s="13">
        <f>F12-'[1]Austria'!F12</f>
        <v>-180</v>
      </c>
      <c r="E12" s="149">
        <v>10339.38</v>
      </c>
      <c r="F12" s="13">
        <f>3935+152</f>
        <v>4087</v>
      </c>
      <c r="G12" s="113">
        <v>296.86</v>
      </c>
      <c r="H12" s="113">
        <v>15147.619999999999</v>
      </c>
      <c r="I12" s="113">
        <v>15167</v>
      </c>
      <c r="J12" s="113">
        <v>18185.88</v>
      </c>
      <c r="K12" s="113">
        <v>14063</v>
      </c>
      <c r="L12" s="113">
        <v>19877.22</v>
      </c>
      <c r="M12" s="113">
        <v>20587</v>
      </c>
      <c r="N12" s="113">
        <v>22162</v>
      </c>
      <c r="O12" s="113">
        <v>19267</v>
      </c>
      <c r="P12" s="13">
        <v>19607</v>
      </c>
      <c r="Q12" s="37">
        <v>20323</v>
      </c>
    </row>
    <row r="13" spans="1:17" ht="12.75">
      <c r="A13" s="28" t="s">
        <v>27</v>
      </c>
      <c r="B13" s="35">
        <f t="shared" si="0"/>
        <v>1.7117317073170732</v>
      </c>
      <c r="C13" s="67">
        <f>E13-'[1]Austria'!E13</f>
        <v>-499.3299999999999</v>
      </c>
      <c r="D13" s="13">
        <f>F13-'[1]Austria'!F13</f>
        <v>-964</v>
      </c>
      <c r="E13" s="149">
        <v>7782.67</v>
      </c>
      <c r="F13" s="13">
        <f>2722+148</f>
        <v>2870</v>
      </c>
      <c r="G13" s="113">
        <v>1142.98</v>
      </c>
      <c r="H13" s="113">
        <v>7858.59</v>
      </c>
      <c r="I13" s="113">
        <v>8748</v>
      </c>
      <c r="J13" s="113">
        <v>7915.84</v>
      </c>
      <c r="K13" s="113">
        <v>6771</v>
      </c>
      <c r="L13" s="113">
        <v>11553</v>
      </c>
      <c r="M13" s="113">
        <v>10209</v>
      </c>
      <c r="N13" s="113">
        <v>10918</v>
      </c>
      <c r="O13" s="113">
        <v>7103</v>
      </c>
      <c r="P13" s="13">
        <v>8669</v>
      </c>
      <c r="Q13" s="37">
        <v>9756</v>
      </c>
    </row>
    <row r="14" spans="1:17" ht="12.75">
      <c r="A14" s="29" t="s">
        <v>26</v>
      </c>
      <c r="B14" s="35"/>
      <c r="C14" s="67">
        <f>E14-'[1]Austria'!E14</f>
        <v>0</v>
      </c>
      <c r="D14" s="13">
        <f>F14-'[1]Austria'!F14</f>
        <v>0</v>
      </c>
      <c r="E14" s="149">
        <v>0</v>
      </c>
      <c r="F14" s="13">
        <v>0</v>
      </c>
      <c r="G14" s="113">
        <v>39.24</v>
      </c>
      <c r="H14" s="113">
        <v>2613.82</v>
      </c>
      <c r="I14" s="113">
        <v>3198</v>
      </c>
      <c r="J14" s="113">
        <v>3317.96</v>
      </c>
      <c r="K14" s="113">
        <v>2578</v>
      </c>
      <c r="L14" s="113">
        <v>5110</v>
      </c>
      <c r="M14" s="113">
        <v>4169</v>
      </c>
      <c r="N14" s="113">
        <v>5126</v>
      </c>
      <c r="O14" s="113">
        <v>4114</v>
      </c>
      <c r="P14" s="13"/>
      <c r="Q14" s="37"/>
    </row>
    <row r="15" spans="1:17" ht="12.75">
      <c r="A15" s="29" t="s">
        <v>95</v>
      </c>
      <c r="B15" s="35">
        <f t="shared" si="0"/>
        <v>10.963947368421053</v>
      </c>
      <c r="C15" s="67">
        <f>E15-'[1]Austria'!E15</f>
        <v>-349.37</v>
      </c>
      <c r="D15" s="13">
        <f>F15-'[1]Austria'!F15</f>
        <v>-62</v>
      </c>
      <c r="E15" s="149">
        <v>454.63</v>
      </c>
      <c r="F15" s="13">
        <v>38</v>
      </c>
      <c r="G15" s="113">
        <v>10.9</v>
      </c>
      <c r="H15" s="113">
        <v>143.88</v>
      </c>
      <c r="I15" s="113">
        <v>32</v>
      </c>
      <c r="J15" s="113">
        <v>86.02</v>
      </c>
      <c r="K15" s="113">
        <v>19</v>
      </c>
      <c r="L15" s="113">
        <v>130</v>
      </c>
      <c r="M15" s="113">
        <v>32</v>
      </c>
      <c r="N15" s="113">
        <v>75</v>
      </c>
      <c r="O15" s="113">
        <v>12</v>
      </c>
      <c r="P15" s="13">
        <v>166</v>
      </c>
      <c r="Q15" s="37">
        <v>202</v>
      </c>
    </row>
    <row r="16" spans="1:17" ht="12.75">
      <c r="A16" s="29" t="s">
        <v>13</v>
      </c>
      <c r="B16" s="35">
        <f t="shared" si="0"/>
        <v>3.8325619834710745</v>
      </c>
      <c r="C16" s="67">
        <f>E16-'[1]Austria'!E16</f>
        <v>-138.77999999999997</v>
      </c>
      <c r="D16" s="13">
        <f>F16-'[1]Austria'!F16</f>
        <v>-322</v>
      </c>
      <c r="E16" s="149">
        <v>1754.22</v>
      </c>
      <c r="F16" s="13">
        <f>311+52</f>
        <v>363</v>
      </c>
      <c r="G16" s="113">
        <v>405.03</v>
      </c>
      <c r="H16" s="113">
        <v>1557.84</v>
      </c>
      <c r="I16" s="113">
        <v>1957</v>
      </c>
      <c r="J16" s="113">
        <v>1908.42</v>
      </c>
      <c r="K16" s="113">
        <v>1830</v>
      </c>
      <c r="L16" s="113">
        <v>1905</v>
      </c>
      <c r="M16" s="113">
        <v>2362</v>
      </c>
      <c r="N16" s="113">
        <v>2584</v>
      </c>
      <c r="O16" s="113">
        <v>2084</v>
      </c>
      <c r="P16" s="13"/>
      <c r="Q16" s="37"/>
    </row>
    <row r="17" spans="1:17" ht="12.75">
      <c r="A17" s="165" t="s">
        <v>134</v>
      </c>
      <c r="B17" s="35">
        <f t="shared" si="0"/>
        <v>2.5360119047619047</v>
      </c>
      <c r="C17" s="67">
        <f>E17-'[1]Austria'!E17</f>
        <v>-48.84999999999991</v>
      </c>
      <c r="D17" s="13">
        <f>F17-'[1]Austria'!F17</f>
        <v>-37</v>
      </c>
      <c r="E17" s="149">
        <v>1782.15</v>
      </c>
      <c r="F17" s="13">
        <v>504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3"/>
      <c r="Q17" s="37"/>
    </row>
    <row r="18" spans="1:17" ht="12.75">
      <c r="A18" s="165" t="s">
        <v>115</v>
      </c>
      <c r="B18" s="35">
        <f t="shared" si="0"/>
        <v>4.814444444444444</v>
      </c>
      <c r="C18" s="67">
        <f>E18-'[1]Austria'!E18</f>
        <v>-15.670000000000002</v>
      </c>
      <c r="D18" s="13">
        <f>F18-'[1]Austria'!F18</f>
        <v>-1</v>
      </c>
      <c r="E18" s="149">
        <v>52.33</v>
      </c>
      <c r="F18" s="13">
        <v>9</v>
      </c>
      <c r="G18" s="13">
        <v>0</v>
      </c>
      <c r="H18" s="13">
        <v>33.79</v>
      </c>
      <c r="I18" s="13">
        <v>17</v>
      </c>
      <c r="J18" s="13">
        <v>33.79</v>
      </c>
      <c r="K18" s="13">
        <v>0</v>
      </c>
      <c r="L18" s="13">
        <v>147</v>
      </c>
      <c r="M18" s="13">
        <v>87</v>
      </c>
      <c r="N18" s="13">
        <v>183</v>
      </c>
      <c r="O18" s="13">
        <v>131</v>
      </c>
      <c r="P18" s="13">
        <v>312</v>
      </c>
      <c r="Q18" s="37">
        <v>299</v>
      </c>
    </row>
    <row r="19" spans="1:17" ht="12.75">
      <c r="A19" s="29" t="s">
        <v>96</v>
      </c>
      <c r="B19" s="35">
        <f t="shared" si="0"/>
        <v>5.879532324621733</v>
      </c>
      <c r="C19" s="67">
        <f>E19-'[1]Austria'!E19</f>
        <v>-511.5799999999999</v>
      </c>
      <c r="D19" s="13">
        <f>F19-'[1]Austria'!F19</f>
        <v>-191</v>
      </c>
      <c r="E19" s="149">
        <v>5001.42</v>
      </c>
      <c r="F19" s="13">
        <f>87+640</f>
        <v>727</v>
      </c>
      <c r="G19" s="13">
        <v>601.72</v>
      </c>
      <c r="H19" s="13">
        <v>4359.68</v>
      </c>
      <c r="I19" s="13">
        <v>3813</v>
      </c>
      <c r="J19" s="13">
        <v>3889.9</v>
      </c>
      <c r="K19" s="13">
        <v>1446</v>
      </c>
      <c r="L19" s="13"/>
      <c r="M19" s="13">
        <v>3366</v>
      </c>
      <c r="N19" s="13">
        <v>4206</v>
      </c>
      <c r="O19" s="13">
        <v>229</v>
      </c>
      <c r="P19" s="13"/>
      <c r="Q19" s="37"/>
    </row>
    <row r="20" spans="1:17" ht="13.5" thickBot="1">
      <c r="A20" s="30" t="s">
        <v>59</v>
      </c>
      <c r="B20" s="36">
        <f t="shared" si="0"/>
        <v>6.531348837209302</v>
      </c>
      <c r="C20" s="68">
        <f>E20-'[1]Austria'!E20</f>
        <v>-1865.76</v>
      </c>
      <c r="D20" s="15">
        <f>F20-'[1]Austria'!F20</f>
        <v>-58</v>
      </c>
      <c r="E20" s="170">
        <v>1619.24</v>
      </c>
      <c r="F20" s="15">
        <f>60+155</f>
        <v>215</v>
      </c>
      <c r="G20" s="114">
        <v>347.99</v>
      </c>
      <c r="H20" s="114">
        <v>355.8</v>
      </c>
      <c r="I20" s="114">
        <v>412</v>
      </c>
      <c r="J20" s="114">
        <v>1786.48</v>
      </c>
      <c r="K20" s="114">
        <v>435</v>
      </c>
      <c r="L20" s="114">
        <v>4830</v>
      </c>
      <c r="M20" s="114">
        <v>1721</v>
      </c>
      <c r="N20" s="114">
        <v>454</v>
      </c>
      <c r="O20" s="114">
        <v>232</v>
      </c>
      <c r="P20" s="15">
        <v>10334</v>
      </c>
      <c r="Q20" s="39">
        <v>9020</v>
      </c>
    </row>
    <row r="21" spans="1:17" ht="13.5" thickBot="1">
      <c r="A21" s="45" t="s">
        <v>23</v>
      </c>
      <c r="B21" s="41">
        <f t="shared" si="0"/>
        <v>0.9038580923232947</v>
      </c>
      <c r="C21" s="69">
        <f>E21-'[1]Austria'!E21</f>
        <v>-10300.859999999986</v>
      </c>
      <c r="D21" s="42">
        <f>F21-'[1]Austria'!F21</f>
        <v>-7934</v>
      </c>
      <c r="E21" s="142">
        <f>SUM(E2:E20)</f>
        <v>105129.14000000001</v>
      </c>
      <c r="F21" s="42">
        <f aca="true" t="shared" si="1" ref="F21:K21">SUM(F2:F20)</f>
        <v>55219</v>
      </c>
      <c r="G21" s="42">
        <f t="shared" si="1"/>
        <v>27726.650000000005</v>
      </c>
      <c r="H21" s="42">
        <f t="shared" si="1"/>
        <v>119410.09999999999</v>
      </c>
      <c r="I21" s="42">
        <f t="shared" si="1"/>
        <v>123349</v>
      </c>
      <c r="J21" s="42">
        <f t="shared" si="1"/>
        <v>113206.86</v>
      </c>
      <c r="K21" s="42">
        <f t="shared" si="1"/>
        <v>103699</v>
      </c>
      <c r="L21" s="42">
        <f aca="true" t="shared" si="2" ref="L21:Q21">SUM(L2:L20)</f>
        <v>143411.37</v>
      </c>
      <c r="M21" s="42">
        <f t="shared" si="2"/>
        <v>134492</v>
      </c>
      <c r="N21" s="42">
        <f t="shared" si="2"/>
        <v>131438</v>
      </c>
      <c r="O21" s="42">
        <f t="shared" si="2"/>
        <v>116170</v>
      </c>
      <c r="P21" s="42">
        <f t="shared" si="2"/>
        <v>117438</v>
      </c>
      <c r="Q21" s="43">
        <f t="shared" si="2"/>
        <v>103971</v>
      </c>
    </row>
    <row r="22" spans="2:15" s="9" customFormat="1" ht="12.75">
      <c r="B22" s="44"/>
      <c r="C22" s="44"/>
      <c r="D22" s="44"/>
      <c r="E22" s="44"/>
      <c r="F22" s="44"/>
      <c r="G22" s="44"/>
      <c r="H22" s="12"/>
      <c r="I22" s="12"/>
      <c r="J22" s="12"/>
      <c r="K22" s="12"/>
      <c r="L22" s="12"/>
      <c r="M22" s="12"/>
      <c r="N22" s="12"/>
      <c r="O22" s="12"/>
    </row>
    <row r="23" ht="12.75">
      <c r="M23" s="13"/>
    </row>
    <row r="27" spans="16:18" ht="18">
      <c r="P27" s="5"/>
      <c r="Q27" s="1"/>
      <c r="R27" s="1"/>
    </row>
    <row r="28" spans="16:18" ht="18">
      <c r="P28" s="5"/>
      <c r="Q28" s="1"/>
      <c r="R28" s="1"/>
    </row>
    <row r="29" spans="16:18" ht="18">
      <c r="P29" s="5"/>
      <c r="Q29" s="1"/>
      <c r="R29" s="1"/>
    </row>
    <row r="30" spans="16:18" ht="18">
      <c r="P30" s="5"/>
      <c r="Q30" s="1"/>
      <c r="R30" s="1"/>
    </row>
    <row r="31" spans="16:18" ht="18">
      <c r="P31" s="5"/>
      <c r="Q31" s="1"/>
      <c r="R31" s="1"/>
    </row>
    <row r="32" spans="16:18" ht="18">
      <c r="P32" s="5"/>
      <c r="Q32" s="1"/>
      <c r="R32" s="1"/>
    </row>
    <row r="33" spans="16:18" ht="18">
      <c r="P33" s="5"/>
      <c r="Q33" s="1"/>
      <c r="R33" s="1"/>
    </row>
    <row r="34" spans="16:18" ht="18">
      <c r="P34" s="5"/>
      <c r="Q34" s="1"/>
      <c r="R34" s="1"/>
    </row>
    <row r="35" spans="16:18" ht="18">
      <c r="P35" s="5"/>
      <c r="Q35" s="1"/>
      <c r="R35" s="1"/>
    </row>
    <row r="36" spans="16:18" ht="18">
      <c r="P36" s="5"/>
      <c r="Q36" s="1"/>
      <c r="R36" s="1"/>
    </row>
    <row r="37" spans="16:18" ht="18">
      <c r="P37" s="6"/>
      <c r="Q37" s="1"/>
      <c r="R37" s="1"/>
    </row>
    <row r="38" spans="16:18" ht="18.75">
      <c r="P38" s="7"/>
      <c r="Q38" s="2"/>
      <c r="R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6" width="11.28125" style="9" customWidth="1"/>
    <col min="7" max="7" width="10.140625" style="0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33">
        <v>39814</v>
      </c>
      <c r="P1" s="33">
        <v>39448</v>
      </c>
      <c r="Q1" s="34">
        <v>39083</v>
      </c>
    </row>
    <row r="2" spans="1:17" ht="12.75">
      <c r="A2" s="27" t="s">
        <v>4</v>
      </c>
      <c r="B2" s="35">
        <f>(E2-F2)/F2</f>
        <v>130.175</v>
      </c>
      <c r="C2" s="67">
        <f>E2-'[1]Belgium'!E2</f>
        <v>-1092</v>
      </c>
      <c r="D2" s="13">
        <f>F2-'[1]Belgium'!F2</f>
        <v>-7</v>
      </c>
      <c r="E2" s="149">
        <v>5247</v>
      </c>
      <c r="F2" s="13">
        <v>40</v>
      </c>
      <c r="G2" s="13">
        <v>645</v>
      </c>
      <c r="H2" s="13">
        <v>5101</v>
      </c>
      <c r="I2" s="13">
        <v>7163</v>
      </c>
      <c r="J2" s="13">
        <v>1950</v>
      </c>
      <c r="K2" s="13">
        <v>561</v>
      </c>
      <c r="L2" s="13">
        <v>3030</v>
      </c>
      <c r="M2" s="13">
        <v>0</v>
      </c>
      <c r="N2" s="13">
        <v>1465</v>
      </c>
      <c r="O2" s="13">
        <v>3900</v>
      </c>
      <c r="P2" s="13">
        <v>5600</v>
      </c>
      <c r="Q2" s="37">
        <v>6100</v>
      </c>
    </row>
    <row r="3" spans="1:17" ht="12.75">
      <c r="A3" s="27" t="s">
        <v>159</v>
      </c>
      <c r="B3" s="35"/>
      <c r="C3" s="67">
        <f>E3-'[1]Belgium'!E3</f>
        <v>0</v>
      </c>
      <c r="D3" s="13">
        <f>F3-'[1]Belgium'!F3</f>
        <v>0</v>
      </c>
      <c r="E3" s="149"/>
      <c r="F3" s="13"/>
      <c r="G3" s="13"/>
      <c r="H3" s="13"/>
      <c r="I3" s="13"/>
      <c r="J3" s="13">
        <v>85</v>
      </c>
      <c r="K3" s="13">
        <v>0</v>
      </c>
      <c r="L3" s="13">
        <v>6</v>
      </c>
      <c r="M3" s="13">
        <v>0</v>
      </c>
      <c r="N3" s="13">
        <v>0</v>
      </c>
      <c r="O3" s="13">
        <v>200</v>
      </c>
      <c r="P3" s="13">
        <v>800</v>
      </c>
      <c r="Q3" s="37">
        <v>600</v>
      </c>
    </row>
    <row r="4" spans="1:17" ht="12.75">
      <c r="A4" s="27" t="s">
        <v>2</v>
      </c>
      <c r="B4" s="35">
        <f aca="true" t="shared" si="0" ref="B4:B10">(E4-F4)/F4</f>
        <v>26.858823529411765</v>
      </c>
      <c r="C4" s="67">
        <f>E4-'[1]Belgium'!E4</f>
        <v>-689</v>
      </c>
      <c r="D4" s="13">
        <f>F4-'[1]Belgium'!F4</f>
        <v>-315</v>
      </c>
      <c r="E4" s="149">
        <v>2368</v>
      </c>
      <c r="F4" s="13">
        <v>85</v>
      </c>
      <c r="G4" s="13">
        <v>261</v>
      </c>
      <c r="H4" s="13">
        <v>929</v>
      </c>
      <c r="I4" s="13">
        <v>2235</v>
      </c>
      <c r="J4" s="13">
        <v>507</v>
      </c>
      <c r="K4" s="13">
        <v>598</v>
      </c>
      <c r="L4" s="13">
        <v>1240</v>
      </c>
      <c r="M4" s="13">
        <v>232</v>
      </c>
      <c r="N4" s="13">
        <v>0</v>
      </c>
      <c r="O4" s="13">
        <v>0</v>
      </c>
      <c r="P4" s="13">
        <v>1600</v>
      </c>
      <c r="Q4" s="37">
        <v>1400</v>
      </c>
    </row>
    <row r="5" spans="1:17" ht="12.75">
      <c r="A5" s="27" t="s">
        <v>101</v>
      </c>
      <c r="B5" s="35"/>
      <c r="C5" s="67">
        <f>E5-'[1]Belgium'!E5</f>
        <v>0</v>
      </c>
      <c r="D5" s="13">
        <f>F5-'[1]Belgium'!F5</f>
        <v>0</v>
      </c>
      <c r="E5" s="14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7">
        <v>700</v>
      </c>
    </row>
    <row r="6" spans="1:17" ht="12.75">
      <c r="A6" s="27" t="s">
        <v>3</v>
      </c>
      <c r="B6" s="35">
        <f t="shared" si="0"/>
        <v>0.29231508165225745</v>
      </c>
      <c r="C6" s="67">
        <f>E6-'[1]Belgium'!E6</f>
        <v>-6982</v>
      </c>
      <c r="D6" s="13">
        <f>F6-'[1]Belgium'!F6</f>
        <v>-1586</v>
      </c>
      <c r="E6" s="149">
        <v>13453</v>
      </c>
      <c r="F6" s="13">
        <v>10410</v>
      </c>
      <c r="G6" s="13">
        <v>12555</v>
      </c>
      <c r="H6" s="13">
        <v>19091</v>
      </c>
      <c r="I6" s="13">
        <v>16295</v>
      </c>
      <c r="J6" s="13">
        <v>17535</v>
      </c>
      <c r="K6" s="13">
        <v>14463</v>
      </c>
      <c r="L6" s="13">
        <v>13870</v>
      </c>
      <c r="M6" s="13">
        <v>10212</v>
      </c>
      <c r="N6" s="13">
        <v>20604</v>
      </c>
      <c r="O6" s="13">
        <v>14300</v>
      </c>
      <c r="P6" s="13">
        <v>16700</v>
      </c>
      <c r="Q6" s="37">
        <v>16200</v>
      </c>
    </row>
    <row r="7" spans="1:17" ht="12.75">
      <c r="A7" s="28" t="s">
        <v>27</v>
      </c>
      <c r="B7" s="35">
        <f t="shared" si="0"/>
        <v>9.438440347531257</v>
      </c>
      <c r="C7" s="67">
        <f>E7-'[1]Belgium'!E7</f>
        <v>-37221</v>
      </c>
      <c r="D7" s="13">
        <f>F7-'[1]Belgium'!F7</f>
        <v>-5093</v>
      </c>
      <c r="E7" s="149">
        <v>49259</v>
      </c>
      <c r="F7" s="13">
        <v>4719</v>
      </c>
      <c r="G7" s="113">
        <v>42513</v>
      </c>
      <c r="H7" s="113">
        <v>69080</v>
      </c>
      <c r="I7" s="113">
        <v>79296</v>
      </c>
      <c r="J7" s="113">
        <v>50142</v>
      </c>
      <c r="K7" s="113">
        <v>45885</v>
      </c>
      <c r="L7" s="113">
        <v>46840</v>
      </c>
      <c r="M7" s="113">
        <v>55542</v>
      </c>
      <c r="N7" s="113">
        <v>83462</v>
      </c>
      <c r="O7" s="113">
        <v>106300</v>
      </c>
      <c r="P7" s="13">
        <v>87500</v>
      </c>
      <c r="Q7" s="37">
        <v>115000</v>
      </c>
    </row>
    <row r="8" spans="1:17" ht="12.75">
      <c r="A8" s="29" t="s">
        <v>26</v>
      </c>
      <c r="B8" s="35">
        <f t="shared" si="0"/>
        <v>12.737547892720306</v>
      </c>
      <c r="C8" s="67">
        <f>E8-'[1]Belgium'!E8</f>
        <v>-8595</v>
      </c>
      <c r="D8" s="13">
        <f>F8-'[1]Belgium'!F8</f>
        <v>-3133</v>
      </c>
      <c r="E8" s="149">
        <v>35855</v>
      </c>
      <c r="F8" s="13">
        <v>2610</v>
      </c>
      <c r="G8" s="113">
        <v>29899</v>
      </c>
      <c r="H8" s="113">
        <v>31734</v>
      </c>
      <c r="I8" s="113">
        <v>47417</v>
      </c>
      <c r="J8" s="113">
        <v>25635</v>
      </c>
      <c r="K8" s="113">
        <v>30006</v>
      </c>
      <c r="L8" s="113">
        <v>33000</v>
      </c>
      <c r="M8" s="113">
        <v>26215</v>
      </c>
      <c r="N8" s="113">
        <v>31934</v>
      </c>
      <c r="O8" s="113">
        <v>38400</v>
      </c>
      <c r="P8" s="13">
        <v>36400</v>
      </c>
      <c r="Q8" s="37">
        <v>34900</v>
      </c>
    </row>
    <row r="9" spans="1:17" ht="13.5" thickBot="1">
      <c r="A9" s="30" t="s">
        <v>59</v>
      </c>
      <c r="B9" s="36">
        <f t="shared" si="0"/>
        <v>5.149235013794833</v>
      </c>
      <c r="C9" s="68">
        <f>E9-'[1]Belgium'!E9</f>
        <v>-2434</v>
      </c>
      <c r="D9" s="15">
        <f>F9-'[1]Belgium'!F9</f>
        <v>-1776</v>
      </c>
      <c r="E9" s="170">
        <v>24517</v>
      </c>
      <c r="F9" s="15">
        <v>3987</v>
      </c>
      <c r="G9" s="114">
        <v>2058</v>
      </c>
      <c r="H9" s="114">
        <v>21424</v>
      </c>
      <c r="I9" s="114">
        <v>15090</v>
      </c>
      <c r="J9" s="114">
        <v>11214</v>
      </c>
      <c r="K9" s="114">
        <v>8592</v>
      </c>
      <c r="L9" s="114">
        <v>22000</v>
      </c>
      <c r="M9" s="114">
        <v>14156</v>
      </c>
      <c r="N9" s="114">
        <v>9608</v>
      </c>
      <c r="O9" s="114">
        <v>21400</v>
      </c>
      <c r="P9" s="15">
        <v>21700</v>
      </c>
      <c r="Q9" s="39">
        <v>3100</v>
      </c>
    </row>
    <row r="10" spans="1:17" ht="13.5" thickBot="1">
      <c r="A10" s="45" t="s">
        <v>23</v>
      </c>
      <c r="B10" s="41">
        <f t="shared" si="0"/>
        <v>4.98137385016704</v>
      </c>
      <c r="C10" s="69">
        <f>E10-'[1]Belgium'!E10</f>
        <v>-57013</v>
      </c>
      <c r="D10" s="42">
        <f>F10-'[1]Belgium'!F10</f>
        <v>-11910</v>
      </c>
      <c r="E10" s="142">
        <f>SUM(E2:E9)</f>
        <v>130699</v>
      </c>
      <c r="F10" s="42">
        <f aca="true" t="shared" si="1" ref="F10:K10">SUM(F2:F9)</f>
        <v>21851</v>
      </c>
      <c r="G10" s="42">
        <f t="shared" si="1"/>
        <v>87931</v>
      </c>
      <c r="H10" s="42">
        <f t="shared" si="1"/>
        <v>147359</v>
      </c>
      <c r="I10" s="42">
        <f t="shared" si="1"/>
        <v>167496</v>
      </c>
      <c r="J10" s="42">
        <f t="shared" si="1"/>
        <v>107068</v>
      </c>
      <c r="K10" s="42">
        <f t="shared" si="1"/>
        <v>100105</v>
      </c>
      <c r="L10" s="42">
        <f aca="true" t="shared" si="2" ref="L10:Q10">SUM(L2:L9)</f>
        <v>119986</v>
      </c>
      <c r="M10" s="42">
        <f t="shared" si="2"/>
        <v>106357</v>
      </c>
      <c r="N10" s="42">
        <f t="shared" si="2"/>
        <v>147073</v>
      </c>
      <c r="O10" s="42">
        <f t="shared" si="2"/>
        <v>184500</v>
      </c>
      <c r="P10" s="42">
        <f t="shared" si="2"/>
        <v>170300</v>
      </c>
      <c r="Q10" s="43">
        <f t="shared" si="2"/>
        <v>178000</v>
      </c>
    </row>
    <row r="11" spans="1:256" ht="12.75">
      <c r="A11" s="9" t="s">
        <v>102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spans="1:15" s="9" customFormat="1" ht="12.75">
      <c r="A12" s="132" t="s">
        <v>158</v>
      </c>
      <c r="B12" s="44"/>
      <c r="C12" s="44"/>
      <c r="D12" s="44"/>
      <c r="E12" s="44"/>
      <c r="F12" s="44"/>
      <c r="G12" s="12"/>
      <c r="H12" s="12"/>
      <c r="I12" s="12"/>
      <c r="J12" s="12"/>
      <c r="K12" s="12"/>
      <c r="L12" s="12"/>
      <c r="M12" s="12"/>
      <c r="N12" s="12"/>
      <c r="O12" s="12"/>
    </row>
    <row r="13" spans="2:15" s="9" customFormat="1" ht="13.5" thickBot="1">
      <c r="B13" s="44"/>
      <c r="C13" s="44"/>
      <c r="D13" s="44"/>
      <c r="E13" s="44"/>
      <c r="F13" s="44"/>
      <c r="G13" s="12"/>
      <c r="H13" s="12"/>
      <c r="I13" s="12"/>
      <c r="J13" s="12"/>
      <c r="K13" s="12"/>
      <c r="L13" s="12"/>
      <c r="M13" s="12"/>
      <c r="N13" s="12"/>
      <c r="O13" s="12"/>
    </row>
    <row r="14" spans="1:17" s="16" customFormat="1" ht="13.5" thickBot="1">
      <c r="A14" s="31" t="s">
        <v>25</v>
      </c>
      <c r="B14" s="32" t="s">
        <v>177</v>
      </c>
      <c r="C14" s="66" t="s">
        <v>176</v>
      </c>
      <c r="D14" s="112" t="s">
        <v>173</v>
      </c>
      <c r="E14" s="171">
        <v>43466</v>
      </c>
      <c r="F14" s="33">
        <v>43101</v>
      </c>
      <c r="G14" s="33">
        <v>42736</v>
      </c>
      <c r="H14" s="33">
        <v>42370</v>
      </c>
      <c r="I14" s="33">
        <f>I1</f>
        <v>42005</v>
      </c>
      <c r="J14" s="33">
        <v>41640</v>
      </c>
      <c r="K14" s="33">
        <v>41275</v>
      </c>
      <c r="L14" s="33">
        <v>40909</v>
      </c>
      <c r="M14" s="33">
        <v>40544</v>
      </c>
      <c r="N14" s="33">
        <v>40179</v>
      </c>
      <c r="O14" s="33">
        <v>39814</v>
      </c>
      <c r="P14" s="33">
        <v>39448</v>
      </c>
      <c r="Q14" s="34">
        <v>39083</v>
      </c>
    </row>
    <row r="15" spans="1:17" ht="12.75">
      <c r="A15" s="27" t="s">
        <v>7</v>
      </c>
      <c r="B15" s="35">
        <f>(E15-F15)/F15</f>
        <v>0.3488049515754172</v>
      </c>
      <c r="C15" s="67">
        <f>E15-'[1]Belgium'!E15</f>
        <v>-30884</v>
      </c>
      <c r="D15" s="13">
        <f>F15-'[1]Belgium'!F15</f>
        <v>-27653</v>
      </c>
      <c r="E15" s="149">
        <v>218791</v>
      </c>
      <c r="F15" s="13">
        <v>162211</v>
      </c>
      <c r="G15" s="13">
        <v>179321</v>
      </c>
      <c r="H15" s="13">
        <v>218681</v>
      </c>
      <c r="I15" s="13">
        <v>193692</v>
      </c>
      <c r="J15" s="13">
        <v>156318</v>
      </c>
      <c r="K15" s="13">
        <v>110965</v>
      </c>
      <c r="L15" s="13">
        <v>143000</v>
      </c>
      <c r="M15" s="13">
        <v>121400</v>
      </c>
      <c r="N15" s="13">
        <v>111800</v>
      </c>
      <c r="O15" s="13">
        <v>52897</v>
      </c>
      <c r="P15" s="13">
        <v>109000</v>
      </c>
      <c r="Q15" s="37">
        <v>121500</v>
      </c>
    </row>
    <row r="16" spans="1:17" ht="12.75">
      <c r="A16" s="27" t="s">
        <v>100</v>
      </c>
      <c r="B16" s="35">
        <f>(E16-F16)/F16</f>
        <v>6.3318025258323765</v>
      </c>
      <c r="C16" s="67">
        <f>E16-'[1]Belgium'!E16</f>
        <v>-2629</v>
      </c>
      <c r="D16" s="13">
        <f>F16-'[1]Belgium'!F16</f>
        <v>-1065</v>
      </c>
      <c r="E16" s="149">
        <v>6386</v>
      </c>
      <c r="F16" s="13">
        <v>871</v>
      </c>
      <c r="G16" s="13">
        <v>3916</v>
      </c>
      <c r="H16" s="13">
        <v>9776</v>
      </c>
      <c r="I16" s="13">
        <v>8906</v>
      </c>
      <c r="J16" s="13">
        <v>6844</v>
      </c>
      <c r="K16" s="13">
        <v>446</v>
      </c>
      <c r="L16" s="13">
        <v>4000</v>
      </c>
      <c r="M16" s="13">
        <v>2200</v>
      </c>
      <c r="N16" s="13">
        <v>6600</v>
      </c>
      <c r="O16" s="13">
        <v>0</v>
      </c>
      <c r="P16" s="13">
        <v>2900</v>
      </c>
      <c r="Q16" s="37">
        <v>3800</v>
      </c>
    </row>
    <row r="17" spans="1:17" ht="12.75">
      <c r="A17" s="57" t="s">
        <v>163</v>
      </c>
      <c r="B17" s="35"/>
      <c r="C17" s="67">
        <f>E17-'[1]Belgium'!E17</f>
        <v>-175</v>
      </c>
      <c r="D17" s="13">
        <f>F17-'[1]Belgium'!F17</f>
        <v>-300</v>
      </c>
      <c r="E17" s="149">
        <v>56</v>
      </c>
      <c r="F17" s="13">
        <v>0</v>
      </c>
      <c r="G17" s="13">
        <v>324</v>
      </c>
      <c r="H17" s="13"/>
      <c r="I17" s="13">
        <v>38</v>
      </c>
      <c r="J17" s="13">
        <v>300</v>
      </c>
      <c r="K17" s="13"/>
      <c r="L17" s="13"/>
      <c r="M17" s="13"/>
      <c r="N17" s="13"/>
      <c r="O17" s="13"/>
      <c r="P17" s="13"/>
      <c r="Q17" s="37"/>
    </row>
    <row r="18" spans="1:17" ht="13.5" thickBot="1">
      <c r="A18" s="38" t="s">
        <v>6</v>
      </c>
      <c r="B18" s="36">
        <f>(E18-F18)/F18</f>
        <v>3.539379474940334</v>
      </c>
      <c r="C18" s="68">
        <f>E18-'[1]Belgium'!E18</f>
        <v>-2263</v>
      </c>
      <c r="D18" s="15">
        <f>F18-'[1]Belgium'!F18</f>
        <v>-1528</v>
      </c>
      <c r="E18" s="170">
        <v>5706</v>
      </c>
      <c r="F18" s="15">
        <v>1257</v>
      </c>
      <c r="G18" s="15">
        <v>1448</v>
      </c>
      <c r="H18" s="15">
        <v>1597</v>
      </c>
      <c r="I18" s="15">
        <v>4197</v>
      </c>
      <c r="J18" s="15">
        <v>3097</v>
      </c>
      <c r="K18" s="15">
        <v>26</v>
      </c>
      <c r="L18" s="15">
        <v>400</v>
      </c>
      <c r="M18" s="15">
        <v>500</v>
      </c>
      <c r="N18" s="15">
        <v>0</v>
      </c>
      <c r="O18" s="15">
        <v>0</v>
      </c>
      <c r="P18" s="15">
        <v>1200</v>
      </c>
      <c r="Q18" s="39">
        <v>2800</v>
      </c>
    </row>
    <row r="19" spans="1:17" ht="13.5" thickBot="1">
      <c r="A19" s="40" t="s">
        <v>23</v>
      </c>
      <c r="B19" s="41">
        <f>(E19-F19)/F19</f>
        <v>0.4052598591934964</v>
      </c>
      <c r="C19" s="69">
        <f>E19-'[1]Belgium'!E19</f>
        <v>-35951</v>
      </c>
      <c r="D19" s="42">
        <f>F19-'[1]Belgium'!F19</f>
        <v>-30546</v>
      </c>
      <c r="E19" s="142">
        <f>SUM(E15:E18)</f>
        <v>230939</v>
      </c>
      <c r="F19" s="42">
        <f>SUM(F15:F18)</f>
        <v>164339</v>
      </c>
      <c r="G19" s="42">
        <f>SUM(G15:G18)</f>
        <v>185009</v>
      </c>
      <c r="H19" s="42">
        <v>230054</v>
      </c>
      <c r="I19" s="42">
        <f>SUM(I15:I18)</f>
        <v>206833</v>
      </c>
      <c r="J19" s="42">
        <f>SUM(J15:J18)</f>
        <v>166559</v>
      </c>
      <c r="K19" s="42">
        <f>SUM(K15:K18)</f>
        <v>111437</v>
      </c>
      <c r="L19" s="42">
        <f aca="true" t="shared" si="3" ref="L19:Q19">SUM(L15:L18)</f>
        <v>147400</v>
      </c>
      <c r="M19" s="42">
        <f t="shared" si="3"/>
        <v>124100</v>
      </c>
      <c r="N19" s="42">
        <f t="shared" si="3"/>
        <v>118400</v>
      </c>
      <c r="O19" s="42">
        <f t="shared" si="3"/>
        <v>52897</v>
      </c>
      <c r="P19" s="42">
        <f t="shared" si="3"/>
        <v>113100</v>
      </c>
      <c r="Q19" s="43">
        <f t="shared" si="3"/>
        <v>128100</v>
      </c>
    </row>
    <row r="26" spans="16:18" ht="18">
      <c r="P26" s="5"/>
      <c r="Q26" s="1"/>
      <c r="R26" s="1"/>
    </row>
    <row r="27" spans="16:18" ht="18">
      <c r="P27" s="5"/>
      <c r="Q27" s="1"/>
      <c r="R27" s="1"/>
    </row>
    <row r="28" spans="16:18" ht="18">
      <c r="P28" s="5"/>
      <c r="Q28" s="1"/>
      <c r="R28" s="1"/>
    </row>
    <row r="29" spans="16:18" ht="18">
      <c r="P29" s="5"/>
      <c r="Q29" s="1"/>
      <c r="R29" s="1"/>
    </row>
    <row r="30" spans="16:18" ht="18">
      <c r="P30" s="5"/>
      <c r="Q30" s="1"/>
      <c r="R30" s="1"/>
    </row>
    <row r="31" spans="16:18" ht="18">
      <c r="P31" s="5"/>
      <c r="Q31" s="1"/>
      <c r="R31" s="1"/>
    </row>
    <row r="32" spans="16:18" ht="18">
      <c r="P32" s="5"/>
      <c r="Q32" s="1"/>
      <c r="R32" s="1"/>
    </row>
    <row r="33" spans="16:18" ht="18">
      <c r="P33" s="5"/>
      <c r="Q33" s="1"/>
      <c r="R33" s="1"/>
    </row>
    <row r="34" spans="16:18" ht="18">
      <c r="P34" s="5"/>
      <c r="Q34" s="1"/>
      <c r="R34" s="1"/>
    </row>
    <row r="35" spans="16:18" ht="18">
      <c r="P35" s="5"/>
      <c r="Q35" s="1"/>
      <c r="R35" s="1"/>
    </row>
    <row r="36" spans="16:18" ht="18">
      <c r="P36" s="6"/>
      <c r="Q36" s="1"/>
      <c r="R36" s="1"/>
    </row>
    <row r="37" spans="16:18" ht="18.75">
      <c r="P37" s="7"/>
      <c r="Q37" s="2"/>
      <c r="R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9.28125" style="160" customWidth="1"/>
    <col min="2" max="2" width="10.7109375" style="0" customWidth="1"/>
    <col min="3" max="3" width="11.57421875" style="117" customWidth="1"/>
    <col min="4" max="4" width="11.57421875" style="118" bestFit="1" customWidth="1"/>
    <col min="5" max="6" width="11.57421875" style="118" customWidth="1"/>
    <col min="7" max="7" width="10.140625" style="117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154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33">
        <v>39814</v>
      </c>
      <c r="P1" s="33">
        <v>39448</v>
      </c>
      <c r="Q1" s="34">
        <v>39083</v>
      </c>
    </row>
    <row r="2" spans="1:17" s="169" customFormat="1" ht="12.75">
      <c r="A2" s="156" t="s">
        <v>11</v>
      </c>
      <c r="B2" s="64">
        <f>(E2-F2)/F2</f>
        <v>1.1428571428571428</v>
      </c>
      <c r="C2" s="106">
        <f>E2-'[1]Czech Republic'!E2</f>
        <v>-725</v>
      </c>
      <c r="D2" s="95">
        <f>F2-'[1]Czech Republic'!F2</f>
        <v>-714</v>
      </c>
      <c r="E2" s="60">
        <v>4095</v>
      </c>
      <c r="F2" s="108">
        <v>1911</v>
      </c>
      <c r="G2" s="13">
        <v>1972</v>
      </c>
      <c r="H2" s="167"/>
      <c r="I2" s="167"/>
      <c r="J2" s="167"/>
      <c r="K2" s="167"/>
      <c r="L2" s="167"/>
      <c r="M2" s="167"/>
      <c r="N2" s="167"/>
      <c r="O2" s="167"/>
      <c r="P2" s="167"/>
      <c r="Q2" s="168"/>
    </row>
    <row r="3" spans="1:17" ht="12.75">
      <c r="A3" s="155" t="s">
        <v>9</v>
      </c>
      <c r="B3" s="35">
        <f aca="true" t="shared" si="0" ref="B3:B12">(E3-F3)/F3</f>
        <v>-0.016548463356973995</v>
      </c>
      <c r="C3" s="124">
        <f>E3-'[1]Czech Republic'!E3</f>
        <v>-2321</v>
      </c>
      <c r="D3" s="125">
        <f>F3-'[1]Czech Republic'!F3</f>
        <v>-1143</v>
      </c>
      <c r="E3" s="173">
        <v>3328</v>
      </c>
      <c r="F3" s="125">
        <v>3384</v>
      </c>
      <c r="G3" s="13">
        <v>3122</v>
      </c>
      <c r="H3" s="13">
        <v>4148</v>
      </c>
      <c r="I3" s="13">
        <v>1327</v>
      </c>
      <c r="J3" s="13">
        <v>1487</v>
      </c>
      <c r="K3" s="13">
        <v>515</v>
      </c>
      <c r="L3" s="13">
        <v>203</v>
      </c>
      <c r="M3" s="13">
        <v>118</v>
      </c>
      <c r="N3" s="13">
        <v>282</v>
      </c>
      <c r="O3" s="13">
        <v>170</v>
      </c>
      <c r="P3" s="13">
        <v>149</v>
      </c>
      <c r="Q3" s="49">
        <v>103</v>
      </c>
    </row>
    <row r="4" spans="1:17" ht="12.75">
      <c r="A4" s="155" t="s">
        <v>14</v>
      </c>
      <c r="B4" s="35">
        <f t="shared" si="0"/>
        <v>0.9809688581314879</v>
      </c>
      <c r="C4" s="124">
        <f>E4-'[1]Czech Republic'!E4</f>
        <v>-432</v>
      </c>
      <c r="D4" s="125">
        <f>F4-'[1]Czech Republic'!F4</f>
        <v>-86</v>
      </c>
      <c r="E4" s="173">
        <v>1145</v>
      </c>
      <c r="F4" s="125">
        <v>578</v>
      </c>
      <c r="G4" s="13">
        <v>393</v>
      </c>
      <c r="H4" s="13">
        <v>753</v>
      </c>
      <c r="I4" s="13">
        <v>1403</v>
      </c>
      <c r="J4" s="13">
        <v>919</v>
      </c>
      <c r="K4" s="13">
        <v>1466</v>
      </c>
      <c r="L4" s="13">
        <v>1278</v>
      </c>
      <c r="M4" s="13">
        <v>1360</v>
      </c>
      <c r="N4" s="13">
        <v>1606</v>
      </c>
      <c r="O4" s="13">
        <v>2132</v>
      </c>
      <c r="P4" s="13">
        <v>1149</v>
      </c>
      <c r="Q4" s="49">
        <v>2024</v>
      </c>
    </row>
    <row r="5" spans="1:17" ht="12.75">
      <c r="A5" s="155" t="s">
        <v>3</v>
      </c>
      <c r="B5" s="35">
        <f t="shared" si="0"/>
        <v>0.1478670890738967</v>
      </c>
      <c r="C5" s="124">
        <f>E5-'[1]Czech Republic'!E5</f>
        <v>-2023</v>
      </c>
      <c r="D5" s="125">
        <f>F5-'[1]Czech Republic'!F5</f>
        <v>-1722</v>
      </c>
      <c r="E5" s="173">
        <v>15580</v>
      </c>
      <c r="F5" s="125">
        <v>13573</v>
      </c>
      <c r="G5" s="13">
        <v>12204</v>
      </c>
      <c r="H5" s="13">
        <v>16349</v>
      </c>
      <c r="I5" s="13">
        <v>14273</v>
      </c>
      <c r="J5" s="13">
        <v>10890</v>
      </c>
      <c r="K5" s="13">
        <v>8001</v>
      </c>
      <c r="L5" s="13">
        <v>8732</v>
      </c>
      <c r="M5" s="13">
        <v>5697</v>
      </c>
      <c r="N5" s="13">
        <v>8366</v>
      </c>
      <c r="O5" s="13">
        <v>8377</v>
      </c>
      <c r="P5" s="13">
        <v>5494</v>
      </c>
      <c r="Q5" s="49">
        <v>4737</v>
      </c>
    </row>
    <row r="6" spans="1:17" ht="12.75">
      <c r="A6" s="155" t="s">
        <v>10</v>
      </c>
      <c r="B6" s="35">
        <f t="shared" si="0"/>
        <v>0.5467598475222364</v>
      </c>
      <c r="C6" s="124">
        <f>E6-'[1]Czech Republic'!E6</f>
        <v>-876</v>
      </c>
      <c r="D6" s="125">
        <f>F6-'[1]Czech Republic'!F6</f>
        <v>-473</v>
      </c>
      <c r="E6" s="173">
        <v>12173</v>
      </c>
      <c r="F6" s="125">
        <v>7870</v>
      </c>
      <c r="G6" s="13">
        <v>6851</v>
      </c>
      <c r="H6" s="13">
        <v>11971</v>
      </c>
      <c r="I6" s="13">
        <v>10395</v>
      </c>
      <c r="J6" s="13">
        <v>10169</v>
      </c>
      <c r="K6" s="13">
        <v>13012</v>
      </c>
      <c r="L6" s="13">
        <v>6441</v>
      </c>
      <c r="M6" s="13">
        <v>10816</v>
      </c>
      <c r="N6" s="13">
        <v>16459</v>
      </c>
      <c r="O6" s="13">
        <v>18567</v>
      </c>
      <c r="P6" s="13">
        <v>10975</v>
      </c>
      <c r="Q6" s="49">
        <v>16371</v>
      </c>
    </row>
    <row r="7" spans="1:17" ht="12.75">
      <c r="A7" s="155" t="s">
        <v>27</v>
      </c>
      <c r="B7" s="35">
        <f t="shared" si="0"/>
        <v>1.683165548098434</v>
      </c>
      <c r="C7" s="124">
        <f>E7-'[1]Czech Republic'!E7</f>
        <v>-2385</v>
      </c>
      <c r="D7" s="125">
        <f>F7-'[1]Czech Republic'!F7</f>
        <v>-1466</v>
      </c>
      <c r="E7" s="173">
        <v>9595</v>
      </c>
      <c r="F7" s="125">
        <v>3576</v>
      </c>
      <c r="G7" s="13">
        <v>3640</v>
      </c>
      <c r="H7" s="13">
        <v>7475</v>
      </c>
      <c r="I7" s="13">
        <v>7000</v>
      </c>
      <c r="J7" s="13">
        <v>4509</v>
      </c>
      <c r="K7" s="13">
        <v>3289</v>
      </c>
      <c r="L7" s="13">
        <v>2280</v>
      </c>
      <c r="M7" s="13">
        <v>2295</v>
      </c>
      <c r="N7" s="13">
        <v>3807</v>
      </c>
      <c r="O7" s="13">
        <v>4728</v>
      </c>
      <c r="P7" s="13">
        <v>1907</v>
      </c>
      <c r="Q7" s="49">
        <v>2698</v>
      </c>
    </row>
    <row r="8" spans="1:17" ht="12.75">
      <c r="A8" s="155" t="s">
        <v>19</v>
      </c>
      <c r="B8" s="35">
        <f t="shared" si="0"/>
        <v>1.5552884615384615</v>
      </c>
      <c r="C8" s="124">
        <f>E8-'[1]Czech Republic'!E8</f>
        <v>-321</v>
      </c>
      <c r="D8" s="125">
        <f>F8-'[1]Czech Republic'!F8</f>
        <v>-359</v>
      </c>
      <c r="E8" s="173">
        <v>2126</v>
      </c>
      <c r="F8" s="125">
        <v>832</v>
      </c>
      <c r="G8" s="13">
        <v>590</v>
      </c>
      <c r="H8" s="13">
        <v>816</v>
      </c>
      <c r="I8" s="13">
        <v>78</v>
      </c>
      <c r="J8" s="13">
        <v>138</v>
      </c>
      <c r="K8" s="13">
        <v>432</v>
      </c>
      <c r="L8" s="13">
        <v>49</v>
      </c>
      <c r="M8" s="13">
        <v>97</v>
      </c>
      <c r="N8" s="13">
        <v>32</v>
      </c>
      <c r="O8" s="13">
        <v>114</v>
      </c>
      <c r="P8" s="13">
        <v>187</v>
      </c>
      <c r="Q8" s="49">
        <v>104</v>
      </c>
    </row>
    <row r="9" spans="1:17" ht="12.75">
      <c r="A9" s="156" t="s">
        <v>89</v>
      </c>
      <c r="B9" s="35">
        <f t="shared" si="0"/>
        <v>0.8067885117493473</v>
      </c>
      <c r="C9" s="124">
        <f>E9-'[1]Czech Republic'!E9</f>
        <v>-431</v>
      </c>
      <c r="D9" s="125">
        <f>F9-'[1]Czech Republic'!F9</f>
        <v>-172</v>
      </c>
      <c r="E9" s="173">
        <v>2076</v>
      </c>
      <c r="F9" s="125">
        <v>1149</v>
      </c>
      <c r="G9" s="13">
        <v>1739</v>
      </c>
      <c r="H9" s="13">
        <v>1989</v>
      </c>
      <c r="I9" s="13">
        <v>1705</v>
      </c>
      <c r="J9" s="13">
        <v>1068</v>
      </c>
      <c r="K9" s="13">
        <v>902</v>
      </c>
      <c r="L9" s="13">
        <v>620</v>
      </c>
      <c r="M9" s="13">
        <v>667</v>
      </c>
      <c r="N9" s="13">
        <v>947</v>
      </c>
      <c r="O9" s="13"/>
      <c r="P9" s="13">
        <v>830</v>
      </c>
      <c r="Q9" s="49">
        <v>1490</v>
      </c>
    </row>
    <row r="10" spans="1:17" ht="12.75">
      <c r="A10" s="155" t="s">
        <v>35</v>
      </c>
      <c r="B10" s="35">
        <f t="shared" si="0"/>
        <v>-0.34375</v>
      </c>
      <c r="C10" s="124">
        <f>E10-'[1]Czech Republic'!E10</f>
        <v>-5</v>
      </c>
      <c r="D10" s="125">
        <f>F10-'[1]Czech Republic'!F10</f>
        <v>-3</v>
      </c>
      <c r="E10" s="173">
        <v>21</v>
      </c>
      <c r="F10" s="125">
        <v>32</v>
      </c>
      <c r="G10" s="13">
        <v>8</v>
      </c>
      <c r="H10" s="13">
        <v>58</v>
      </c>
      <c r="I10" s="13">
        <v>94</v>
      </c>
      <c r="J10" s="13">
        <v>20</v>
      </c>
      <c r="K10" s="13">
        <v>267</v>
      </c>
      <c r="L10" s="13">
        <v>47</v>
      </c>
      <c r="M10" s="13">
        <v>88</v>
      </c>
      <c r="N10" s="13">
        <v>116</v>
      </c>
      <c r="O10" s="13">
        <v>136</v>
      </c>
      <c r="P10" s="13">
        <v>238</v>
      </c>
      <c r="Q10" s="49">
        <v>114</v>
      </c>
    </row>
    <row r="11" spans="1:17" ht="13.5" thickBot="1">
      <c r="A11" s="157" t="s">
        <v>59</v>
      </c>
      <c r="B11" s="36">
        <f t="shared" si="0"/>
        <v>1.6670081967213115</v>
      </c>
      <c r="C11" s="126">
        <f>E11-'[1]Czech Republic'!E11</f>
        <v>-1335</v>
      </c>
      <c r="D11" s="127">
        <f>F11-'[1]Czech Republic'!F11</f>
        <v>-160</v>
      </c>
      <c r="E11" s="175">
        <v>5206</v>
      </c>
      <c r="F11" s="127">
        <v>1952</v>
      </c>
      <c r="G11" s="13">
        <v>3326</v>
      </c>
      <c r="H11" s="114">
        <v>5842</v>
      </c>
      <c r="I11" s="114">
        <v>4766</v>
      </c>
      <c r="J11" s="114">
        <v>3984</v>
      </c>
      <c r="K11" s="114">
        <v>3776</v>
      </c>
      <c r="L11" s="114">
        <v>1476</v>
      </c>
      <c r="M11" s="114">
        <v>2989</v>
      </c>
      <c r="N11" s="114">
        <v>3931</v>
      </c>
      <c r="O11" s="114">
        <v>7109</v>
      </c>
      <c r="P11" s="15">
        <v>2832</v>
      </c>
      <c r="Q11" s="49">
        <v>4921</v>
      </c>
    </row>
    <row r="12" spans="1:17" ht="13.5" thickBot="1">
      <c r="A12" s="158" t="s">
        <v>23</v>
      </c>
      <c r="B12" s="41">
        <f t="shared" si="0"/>
        <v>0.5877729007086094</v>
      </c>
      <c r="C12" s="128">
        <f>E12-'[1]Czech Republic'!E12</f>
        <v>-10854</v>
      </c>
      <c r="D12" s="129">
        <f>F12-'[1]Czech Republic'!F12</f>
        <v>-6298</v>
      </c>
      <c r="E12" s="174">
        <f>SUM(E2:E11)</f>
        <v>55345</v>
      </c>
      <c r="F12" s="129">
        <v>34857</v>
      </c>
      <c r="G12" s="176">
        <f>SUM(G2:G11)</f>
        <v>33845</v>
      </c>
      <c r="H12" s="42">
        <f>SUM(H3:H11)</f>
        <v>49401</v>
      </c>
      <c r="I12" s="42">
        <f>SUM(I3:I11)</f>
        <v>41041</v>
      </c>
      <c r="J12" s="42">
        <f>SUM(J3:J11)</f>
        <v>33184</v>
      </c>
      <c r="K12" s="42">
        <f>SUM(K3:K11)</f>
        <v>31660</v>
      </c>
      <c r="L12" s="42">
        <f aca="true" t="shared" si="1" ref="L12:Q12">SUM(L3:L11)</f>
        <v>21126</v>
      </c>
      <c r="M12" s="42">
        <f t="shared" si="1"/>
        <v>24127</v>
      </c>
      <c r="N12" s="42">
        <f t="shared" si="1"/>
        <v>35546</v>
      </c>
      <c r="O12" s="42">
        <f t="shared" si="1"/>
        <v>41333</v>
      </c>
      <c r="P12" s="42">
        <f t="shared" si="1"/>
        <v>23761</v>
      </c>
      <c r="Q12" s="146">
        <f t="shared" si="1"/>
        <v>32562</v>
      </c>
    </row>
    <row r="13" spans="1:15" s="9" customFormat="1" ht="12.75">
      <c r="A13" s="159"/>
      <c r="B13" s="44"/>
      <c r="C13" s="116"/>
      <c r="D13" s="116"/>
      <c r="E13" s="116"/>
      <c r="F13" s="116"/>
      <c r="G13" s="116"/>
      <c r="H13" s="12"/>
      <c r="I13" s="12"/>
      <c r="J13" s="12"/>
      <c r="K13" s="12"/>
      <c r="L13" s="12"/>
      <c r="M13" s="12"/>
      <c r="N13" s="12"/>
      <c r="O13" s="12"/>
    </row>
    <row r="14" ht="13.5" thickBot="1">
      <c r="G14" s="118"/>
    </row>
    <row r="15" spans="1:17" ht="13.5" thickBot="1">
      <c r="A15" s="161" t="s">
        <v>25</v>
      </c>
      <c r="B15" s="32" t="s">
        <v>177</v>
      </c>
      <c r="C15" s="66" t="s">
        <v>176</v>
      </c>
      <c r="D15" s="112" t="s">
        <v>173</v>
      </c>
      <c r="E15" s="171">
        <v>43466</v>
      </c>
      <c r="F15" s="33">
        <v>43101</v>
      </c>
      <c r="G15" s="33">
        <v>42736</v>
      </c>
      <c r="H15" s="119">
        <f>H1</f>
        <v>42370</v>
      </c>
      <c r="I15" s="119">
        <f>I1</f>
        <v>42005</v>
      </c>
      <c r="J15" s="119">
        <v>41640</v>
      </c>
      <c r="K15" s="119">
        <v>41275</v>
      </c>
      <c r="L15" s="119">
        <v>40909</v>
      </c>
      <c r="M15" s="119">
        <v>40544</v>
      </c>
      <c r="N15" s="119">
        <v>40179</v>
      </c>
      <c r="O15" s="119">
        <v>39814</v>
      </c>
      <c r="P15" s="72">
        <v>39448</v>
      </c>
      <c r="Q15" s="34">
        <v>39083</v>
      </c>
    </row>
    <row r="16" spans="1:17" ht="12.75">
      <c r="A16" s="162" t="s">
        <v>7</v>
      </c>
      <c r="B16" s="75">
        <f aca="true" t="shared" si="2" ref="B16:B21">(E16-F16)/F16</f>
        <v>0.13991416309012875</v>
      </c>
      <c r="C16" s="104">
        <f>E16-'[1]Czech Republic'!E16</f>
        <v>-7</v>
      </c>
      <c r="D16" s="100">
        <f>F16-'[1]Czech Republic'!F16</f>
        <v>-279</v>
      </c>
      <c r="E16" s="76">
        <v>1328</v>
      </c>
      <c r="F16" s="100">
        <v>1165</v>
      </c>
      <c r="G16" s="100">
        <v>1014</v>
      </c>
      <c r="H16" s="100">
        <v>2952</v>
      </c>
      <c r="I16" s="100">
        <v>368</v>
      </c>
      <c r="J16" s="100">
        <v>1524</v>
      </c>
      <c r="K16" s="100">
        <v>105</v>
      </c>
      <c r="L16" s="100">
        <v>200</v>
      </c>
      <c r="M16" s="100">
        <v>2</v>
      </c>
      <c r="N16" s="100">
        <v>3</v>
      </c>
      <c r="O16" s="100">
        <v>0</v>
      </c>
      <c r="P16" s="100">
        <v>0</v>
      </c>
      <c r="Q16" s="102">
        <v>263</v>
      </c>
    </row>
    <row r="17" spans="1:17" ht="12.75">
      <c r="A17" s="162" t="s">
        <v>42</v>
      </c>
      <c r="B17" s="75"/>
      <c r="C17" s="104">
        <f>E17-'[1]Czech Republic'!E17</f>
        <v>-7</v>
      </c>
      <c r="D17" s="100">
        <f>F17-'[1]Czech Republic'!F17</f>
        <v>0</v>
      </c>
      <c r="E17" s="76">
        <v>12</v>
      </c>
      <c r="F17" s="100">
        <v>0</v>
      </c>
      <c r="G17" s="100">
        <v>1</v>
      </c>
      <c r="H17" s="100">
        <v>11</v>
      </c>
      <c r="I17" s="100">
        <v>0</v>
      </c>
      <c r="J17" s="100">
        <v>79</v>
      </c>
      <c r="K17" s="100">
        <v>0</v>
      </c>
      <c r="L17" s="100">
        <v>102</v>
      </c>
      <c r="M17" s="100">
        <v>0</v>
      </c>
      <c r="N17" s="100">
        <v>0</v>
      </c>
      <c r="O17" s="100">
        <v>0</v>
      </c>
      <c r="P17" s="100">
        <v>0</v>
      </c>
      <c r="Q17" s="102">
        <v>35</v>
      </c>
    </row>
    <row r="18" spans="1:17" ht="12.75">
      <c r="A18" s="162" t="s">
        <v>154</v>
      </c>
      <c r="B18" s="75">
        <f t="shared" si="2"/>
        <v>3.1016949152542375</v>
      </c>
      <c r="C18" s="104">
        <f>E18-'[1]Czech Republic'!E18</f>
        <v>-73</v>
      </c>
      <c r="D18" s="100">
        <f>F18-'[1]Czech Republic'!F18</f>
        <v>-53</v>
      </c>
      <c r="E18" s="76">
        <v>242</v>
      </c>
      <c r="F18" s="100">
        <v>59</v>
      </c>
      <c r="G18" s="100">
        <v>143</v>
      </c>
      <c r="H18" s="100">
        <v>85</v>
      </c>
      <c r="I18" s="100">
        <v>23</v>
      </c>
      <c r="J18" s="100">
        <v>132</v>
      </c>
      <c r="K18" s="100">
        <v>90</v>
      </c>
      <c r="L18" s="100"/>
      <c r="M18" s="100"/>
      <c r="N18" s="100"/>
      <c r="O18" s="100"/>
      <c r="P18" s="100"/>
      <c r="Q18" s="37"/>
    </row>
    <row r="19" spans="1:17" ht="12.75">
      <c r="A19" s="162" t="s">
        <v>155</v>
      </c>
      <c r="B19" s="75">
        <f t="shared" si="2"/>
        <v>1.0810810810810811</v>
      </c>
      <c r="C19" s="104">
        <f>E19-'[1]Czech Republic'!E19</f>
        <v>-315</v>
      </c>
      <c r="D19" s="100">
        <f>F19-'[1]Czech Republic'!F19</f>
        <v>-80</v>
      </c>
      <c r="E19" s="76">
        <v>154</v>
      </c>
      <c r="F19" s="100">
        <v>74</v>
      </c>
      <c r="G19" s="100">
        <v>19</v>
      </c>
      <c r="H19" s="100">
        <v>925</v>
      </c>
      <c r="I19" s="100">
        <v>56</v>
      </c>
      <c r="J19" s="100">
        <v>448</v>
      </c>
      <c r="K19" s="100">
        <v>434</v>
      </c>
      <c r="L19" s="100"/>
      <c r="M19" s="100"/>
      <c r="N19" s="100"/>
      <c r="O19" s="100"/>
      <c r="P19" s="100"/>
      <c r="Q19" s="37"/>
    </row>
    <row r="20" spans="1:17" ht="13.5" thickBot="1">
      <c r="A20" s="163" t="s">
        <v>6</v>
      </c>
      <c r="B20" s="75">
        <f t="shared" si="2"/>
        <v>34.75</v>
      </c>
      <c r="C20" s="104">
        <f>E20-'[1]Czech Republic'!E20</f>
        <v>-67</v>
      </c>
      <c r="D20" s="100">
        <f>F20-'[1]Czech Republic'!F20</f>
        <v>-5</v>
      </c>
      <c r="E20" s="76">
        <v>143</v>
      </c>
      <c r="F20" s="100">
        <v>4</v>
      </c>
      <c r="G20" s="101">
        <v>20</v>
      </c>
      <c r="H20" s="101">
        <v>47</v>
      </c>
      <c r="I20" s="101">
        <v>93</v>
      </c>
      <c r="J20" s="101">
        <v>104</v>
      </c>
      <c r="K20" s="101">
        <v>58</v>
      </c>
      <c r="L20" s="101">
        <v>192</v>
      </c>
      <c r="M20" s="101">
        <v>217</v>
      </c>
      <c r="N20" s="101">
        <v>100</v>
      </c>
      <c r="O20" s="101">
        <v>0</v>
      </c>
      <c r="P20" s="101">
        <v>23</v>
      </c>
      <c r="Q20" s="103">
        <v>35</v>
      </c>
    </row>
    <row r="21" spans="1:17" ht="13.5" thickBot="1">
      <c r="A21" s="164" t="s">
        <v>92</v>
      </c>
      <c r="B21" s="83">
        <f t="shared" si="2"/>
        <v>0.4431643625192012</v>
      </c>
      <c r="C21" s="123">
        <f>E21-'[1]Czech Republic'!E21</f>
        <v>-469</v>
      </c>
      <c r="D21" s="120">
        <f>F21-'[1]Czech Republic'!F21</f>
        <v>-417</v>
      </c>
      <c r="E21" s="84">
        <f>SUM(E16:E20)</f>
        <v>1879</v>
      </c>
      <c r="F21" s="120">
        <f aca="true" t="shared" si="3" ref="F21:K21">SUM(F16:F20)</f>
        <v>1302</v>
      </c>
      <c r="G21" s="120">
        <f t="shared" si="3"/>
        <v>1197</v>
      </c>
      <c r="H21" s="120">
        <f t="shared" si="3"/>
        <v>4020</v>
      </c>
      <c r="I21" s="120">
        <f t="shared" si="3"/>
        <v>540</v>
      </c>
      <c r="J21" s="120">
        <f t="shared" si="3"/>
        <v>2287</v>
      </c>
      <c r="K21" s="120">
        <f t="shared" si="3"/>
        <v>687</v>
      </c>
      <c r="L21" s="120">
        <f aca="true" t="shared" si="4" ref="L21:Q21">SUM(L16:L20)</f>
        <v>494</v>
      </c>
      <c r="M21" s="120">
        <f t="shared" si="4"/>
        <v>219</v>
      </c>
      <c r="N21" s="120">
        <f t="shared" si="4"/>
        <v>103</v>
      </c>
      <c r="O21" s="120">
        <f t="shared" si="4"/>
        <v>0</v>
      </c>
      <c r="P21" s="121">
        <f t="shared" si="4"/>
        <v>23</v>
      </c>
      <c r="Q21" s="122">
        <f t="shared" si="4"/>
        <v>333</v>
      </c>
    </row>
    <row r="22" spans="1:6" s="117" customFormat="1" ht="12.75">
      <c r="A22" s="160"/>
      <c r="F22" s="18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8515625" style="0" customWidth="1"/>
    <col min="4" max="6" width="11.421875" style="9" customWidth="1"/>
    <col min="7" max="7" width="10.140625" style="0" bestFit="1" customWidth="1"/>
    <col min="8" max="15" width="10.140625" style="9" bestFit="1" customWidth="1"/>
    <col min="16" max="17" width="10.140625" style="0" bestFit="1" customWidth="1"/>
  </cols>
  <sheetData>
    <row r="1" spans="1:17" ht="13.5" thickBot="1">
      <c r="A1" s="56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33">
        <v>39814</v>
      </c>
      <c r="P1" s="55">
        <v>39448</v>
      </c>
      <c r="Q1" s="34">
        <v>39083</v>
      </c>
    </row>
    <row r="2" spans="1:17" ht="12.75">
      <c r="A2" s="57" t="s">
        <v>4</v>
      </c>
      <c r="B2" s="64"/>
      <c r="C2" s="106">
        <f>E2-'[1]Denmark'!E2</f>
        <v>-67</v>
      </c>
      <c r="D2" s="95">
        <f>F2-'[1]Denmark'!F2</f>
        <v>-57</v>
      </c>
      <c r="E2" s="60">
        <v>9</v>
      </c>
      <c r="F2" s="95">
        <v>0</v>
      </c>
      <c r="G2" s="95">
        <v>7</v>
      </c>
      <c r="H2" s="95">
        <v>8</v>
      </c>
      <c r="I2" s="95">
        <v>0</v>
      </c>
      <c r="J2" s="95">
        <v>0</v>
      </c>
      <c r="K2" s="95">
        <v>10</v>
      </c>
      <c r="L2" s="95">
        <v>0</v>
      </c>
      <c r="M2" s="95">
        <v>18</v>
      </c>
      <c r="N2" s="95">
        <v>7</v>
      </c>
      <c r="O2" s="95">
        <v>5</v>
      </c>
      <c r="P2" s="54">
        <v>67</v>
      </c>
      <c r="Q2" s="86">
        <v>30</v>
      </c>
    </row>
    <row r="3" spans="1:17" ht="12.75">
      <c r="A3" s="57" t="s">
        <v>97</v>
      </c>
      <c r="B3" s="64">
        <f aca="true" t="shared" si="0" ref="B3:B19">(E3-F3)/F3</f>
        <v>0.10919540229885058</v>
      </c>
      <c r="C3" s="106">
        <f>E3-'[1]Denmark'!E3</f>
        <v>-53</v>
      </c>
      <c r="D3" s="95">
        <f>F3-'[1]Denmark'!F3</f>
        <v>-28</v>
      </c>
      <c r="E3" s="60">
        <v>386</v>
      </c>
      <c r="F3" s="95">
        <v>348</v>
      </c>
      <c r="G3" s="95">
        <v>527</v>
      </c>
      <c r="H3" s="95">
        <v>453</v>
      </c>
      <c r="I3" s="95">
        <v>568</v>
      </c>
      <c r="J3" s="95">
        <v>550</v>
      </c>
      <c r="K3" s="95">
        <v>421</v>
      </c>
      <c r="L3" s="95">
        <v>510</v>
      </c>
      <c r="M3" s="95">
        <v>399</v>
      </c>
      <c r="N3" s="95">
        <v>350</v>
      </c>
      <c r="O3" s="95">
        <v>137</v>
      </c>
      <c r="P3" s="54"/>
      <c r="Q3" s="86"/>
    </row>
    <row r="4" spans="1:17" ht="12.75">
      <c r="A4" s="57" t="s">
        <v>5</v>
      </c>
      <c r="B4" s="64"/>
      <c r="C4" s="106">
        <f>E4-'[1]Denmark'!E4</f>
        <v>-426</v>
      </c>
      <c r="D4" s="95">
        <f>F4-'[1]Denmark'!F4</f>
        <v>-313</v>
      </c>
      <c r="E4" s="60">
        <v>231</v>
      </c>
      <c r="F4" s="95">
        <v>0</v>
      </c>
      <c r="G4" s="95">
        <v>112</v>
      </c>
      <c r="H4" s="95">
        <v>252</v>
      </c>
      <c r="I4" s="95">
        <v>0</v>
      </c>
      <c r="J4" s="95">
        <v>267</v>
      </c>
      <c r="K4" s="95">
        <v>22</v>
      </c>
      <c r="L4" s="95">
        <v>34</v>
      </c>
      <c r="M4" s="95">
        <v>50</v>
      </c>
      <c r="N4" s="95">
        <v>22</v>
      </c>
      <c r="O4" s="95">
        <v>96</v>
      </c>
      <c r="P4" s="54">
        <v>364</v>
      </c>
      <c r="Q4" s="86">
        <v>55</v>
      </c>
    </row>
    <row r="5" spans="1:17" ht="12.75">
      <c r="A5" s="57" t="s">
        <v>2</v>
      </c>
      <c r="B5" s="64">
        <f t="shared" si="0"/>
        <v>0.7679900744416873</v>
      </c>
      <c r="C5" s="106">
        <f>E5-'[1]Denmark'!E5</f>
        <v>-599</v>
      </c>
      <c r="D5" s="95">
        <f>F5-'[1]Denmark'!F5</f>
        <v>-256</v>
      </c>
      <c r="E5" s="60">
        <v>4275</v>
      </c>
      <c r="F5" s="95">
        <v>2418</v>
      </c>
      <c r="G5" s="95">
        <v>3338</v>
      </c>
      <c r="H5" s="95">
        <v>3542</v>
      </c>
      <c r="I5" s="95">
        <v>3290</v>
      </c>
      <c r="J5" s="95">
        <v>2827</v>
      </c>
      <c r="K5" s="95">
        <v>2189</v>
      </c>
      <c r="L5" s="95">
        <v>2348</v>
      </c>
      <c r="M5" s="95">
        <v>1805</v>
      </c>
      <c r="N5" s="95">
        <v>2594</v>
      </c>
      <c r="O5" s="95">
        <v>3092</v>
      </c>
      <c r="P5" s="54">
        <v>2035</v>
      </c>
      <c r="Q5" s="86">
        <v>1396</v>
      </c>
    </row>
    <row r="6" spans="1:17" ht="12.75">
      <c r="A6" s="57" t="s">
        <v>12</v>
      </c>
      <c r="B6" s="64"/>
      <c r="C6" s="106">
        <f>E6-'[1]Denmark'!E6</f>
        <v>0</v>
      </c>
      <c r="D6" s="95">
        <f>F6-'[1]Denmark'!F6</f>
        <v>-24</v>
      </c>
      <c r="E6" s="60">
        <v>16</v>
      </c>
      <c r="F6" s="95">
        <v>0</v>
      </c>
      <c r="G6" s="95">
        <v>17</v>
      </c>
      <c r="H6" s="95">
        <v>14</v>
      </c>
      <c r="I6" s="95">
        <v>0</v>
      </c>
      <c r="J6" s="95">
        <v>29</v>
      </c>
      <c r="K6" s="95">
        <v>8</v>
      </c>
      <c r="L6" s="95"/>
      <c r="M6" s="95">
        <v>0</v>
      </c>
      <c r="N6" s="95">
        <v>0</v>
      </c>
      <c r="O6" s="95">
        <v>5</v>
      </c>
      <c r="P6" s="54"/>
      <c r="Q6" s="86"/>
    </row>
    <row r="7" spans="1:17" ht="12.75">
      <c r="A7" s="57" t="s">
        <v>9</v>
      </c>
      <c r="B7" s="64">
        <f t="shared" si="0"/>
        <v>2.6858974358974357</v>
      </c>
      <c r="C7" s="106">
        <f>E7-'[1]Denmark'!E7</f>
        <v>-31</v>
      </c>
      <c r="D7" s="95">
        <f>F7-'[1]Denmark'!F7</f>
        <v>-158</v>
      </c>
      <c r="E7" s="60">
        <v>575</v>
      </c>
      <c r="F7" s="95">
        <v>156</v>
      </c>
      <c r="G7" s="95">
        <v>523</v>
      </c>
      <c r="H7" s="95">
        <v>358</v>
      </c>
      <c r="I7" s="95">
        <v>304</v>
      </c>
      <c r="J7" s="95">
        <v>293</v>
      </c>
      <c r="K7" s="95">
        <v>124</v>
      </c>
      <c r="L7" s="95">
        <v>240</v>
      </c>
      <c r="M7" s="95">
        <v>259</v>
      </c>
      <c r="N7" s="95">
        <v>266</v>
      </c>
      <c r="O7" s="95">
        <f>SUM(R7:U7)</f>
        <v>0</v>
      </c>
      <c r="P7" s="54"/>
      <c r="Q7" s="86"/>
    </row>
    <row r="8" spans="1:17" ht="12.75">
      <c r="A8" s="57" t="s">
        <v>14</v>
      </c>
      <c r="B8" s="64"/>
      <c r="C8" s="106">
        <f>E8-'[1]Denmark'!E8</f>
        <v>0</v>
      </c>
      <c r="D8" s="95">
        <f>F8-'[1]Denmark'!F8</f>
        <v>0</v>
      </c>
      <c r="E8" s="60">
        <v>0</v>
      </c>
      <c r="F8" s="95">
        <v>0</v>
      </c>
      <c r="G8" s="95">
        <v>0</v>
      </c>
      <c r="H8" s="95">
        <v>0</v>
      </c>
      <c r="I8" s="95">
        <v>0</v>
      </c>
      <c r="J8" s="95">
        <v>5</v>
      </c>
      <c r="K8" s="95">
        <v>58</v>
      </c>
      <c r="L8" s="95">
        <v>80</v>
      </c>
      <c r="M8" s="95">
        <v>62</v>
      </c>
      <c r="N8" s="95">
        <v>86</v>
      </c>
      <c r="O8" s="95">
        <v>330</v>
      </c>
      <c r="P8" s="54">
        <v>346</v>
      </c>
      <c r="Q8" s="86">
        <v>340</v>
      </c>
    </row>
    <row r="9" spans="1:17" ht="12.75">
      <c r="A9" s="57" t="s">
        <v>15</v>
      </c>
      <c r="B9" s="64"/>
      <c r="C9" s="106">
        <f>E9-'[1]Denmark'!E9</f>
        <v>-89</v>
      </c>
      <c r="D9" s="95">
        <f>F9-'[1]Denmark'!F9</f>
        <v>-27</v>
      </c>
      <c r="E9" s="60">
        <v>198</v>
      </c>
      <c r="F9" s="95">
        <v>0</v>
      </c>
      <c r="G9" s="95">
        <v>113</v>
      </c>
      <c r="H9" s="95">
        <v>138</v>
      </c>
      <c r="I9" s="95">
        <v>94</v>
      </c>
      <c r="J9" s="95">
        <v>235</v>
      </c>
      <c r="K9" s="95">
        <v>24</v>
      </c>
      <c r="L9" s="95">
        <v>168</v>
      </c>
      <c r="M9" s="95">
        <v>135</v>
      </c>
      <c r="N9" s="95">
        <v>205</v>
      </c>
      <c r="O9" s="95">
        <v>475</v>
      </c>
      <c r="P9" s="54"/>
      <c r="Q9" s="86"/>
    </row>
    <row r="10" spans="1:18" ht="12.75">
      <c r="A10" s="57" t="s">
        <v>10</v>
      </c>
      <c r="B10" s="64"/>
      <c r="C10" s="106">
        <f>E10-'[1]Denmark'!E10</f>
        <v>0</v>
      </c>
      <c r="D10" s="95">
        <f>F10-'[1]Denmark'!F10</f>
        <v>-17</v>
      </c>
      <c r="E10" s="60">
        <v>14</v>
      </c>
      <c r="F10" s="95">
        <v>0</v>
      </c>
      <c r="G10" s="95">
        <v>0</v>
      </c>
      <c r="H10" s="95">
        <v>0</v>
      </c>
      <c r="I10" s="95">
        <v>0</v>
      </c>
      <c r="J10" s="95">
        <v>21</v>
      </c>
      <c r="K10" s="95"/>
      <c r="L10" s="95">
        <v>11</v>
      </c>
      <c r="M10" s="95">
        <v>16</v>
      </c>
      <c r="N10" s="95">
        <v>34</v>
      </c>
      <c r="O10" s="95">
        <v>34</v>
      </c>
      <c r="P10" s="54"/>
      <c r="Q10" s="86"/>
      <c r="R10" s="1"/>
    </row>
    <row r="11" spans="1:17" ht="12.75">
      <c r="A11" s="57" t="s">
        <v>99</v>
      </c>
      <c r="B11" s="64"/>
      <c r="C11" s="106">
        <f>E11-'[1]Denmark'!E11</f>
        <v>-1046</v>
      </c>
      <c r="D11" s="95">
        <f>F11-'[1]Denmark'!F11</f>
        <v>-754</v>
      </c>
      <c r="E11" s="60">
        <v>965</v>
      </c>
      <c r="F11" s="95">
        <v>0</v>
      </c>
      <c r="G11" s="95">
        <v>1665</v>
      </c>
      <c r="H11" s="95">
        <v>1455</v>
      </c>
      <c r="I11" s="95">
        <v>339</v>
      </c>
      <c r="J11" s="95">
        <v>1095</v>
      </c>
      <c r="K11" s="95">
        <v>29</v>
      </c>
      <c r="L11" s="95">
        <v>89</v>
      </c>
      <c r="M11" s="95">
        <v>388</v>
      </c>
      <c r="N11" s="95">
        <v>385</v>
      </c>
      <c r="O11" s="95">
        <v>950</v>
      </c>
      <c r="P11" s="54"/>
      <c r="Q11" s="86"/>
    </row>
    <row r="12" spans="1:18" ht="12.75">
      <c r="A12" s="57" t="s">
        <v>27</v>
      </c>
      <c r="B12" s="64">
        <f t="shared" si="0"/>
        <v>0.59375</v>
      </c>
      <c r="C12" s="106">
        <f>E12-'[1]Denmark'!E12</f>
        <v>0</v>
      </c>
      <c r="D12" s="95">
        <f>F12-'[1]Denmark'!F12</f>
        <v>0</v>
      </c>
      <c r="E12" s="60">
        <v>51</v>
      </c>
      <c r="F12" s="95">
        <v>32</v>
      </c>
      <c r="G12" s="95">
        <v>27</v>
      </c>
      <c r="H12" s="95">
        <v>22</v>
      </c>
      <c r="I12" s="95">
        <v>45</v>
      </c>
      <c r="J12" s="95">
        <v>38</v>
      </c>
      <c r="K12" s="95">
        <v>69</v>
      </c>
      <c r="L12" s="95"/>
      <c r="M12" s="95"/>
      <c r="N12" s="95">
        <v>146</v>
      </c>
      <c r="O12" s="95">
        <v>10</v>
      </c>
      <c r="P12" s="54">
        <v>3272</v>
      </c>
      <c r="Q12" s="86">
        <v>2336</v>
      </c>
      <c r="R12" s="1"/>
    </row>
    <row r="13" spans="1:17" ht="12.75">
      <c r="A13" s="57" t="s">
        <v>26</v>
      </c>
      <c r="B13" s="64">
        <f t="shared" si="0"/>
        <v>0.4455500276395799</v>
      </c>
      <c r="C13" s="106">
        <f>E13-'[1]Denmark'!E13</f>
        <v>-185</v>
      </c>
      <c r="D13" s="95">
        <f>F13-'[1]Denmark'!F13</f>
        <v>-176</v>
      </c>
      <c r="E13" s="60">
        <v>2615</v>
      </c>
      <c r="F13" s="95">
        <v>1809</v>
      </c>
      <c r="G13" s="95">
        <v>2881</v>
      </c>
      <c r="H13" s="95">
        <v>2288</v>
      </c>
      <c r="I13" s="95">
        <v>2433</v>
      </c>
      <c r="J13" s="95">
        <v>2040</v>
      </c>
      <c r="K13" s="95">
        <v>1994</v>
      </c>
      <c r="L13" s="95">
        <v>2546</v>
      </c>
      <c r="M13" s="95">
        <v>2256</v>
      </c>
      <c r="N13" s="95">
        <v>2986</v>
      </c>
      <c r="O13" s="95">
        <v>3880</v>
      </c>
      <c r="P13" s="54"/>
      <c r="Q13" s="86"/>
    </row>
    <row r="14" spans="1:17" ht="12.75">
      <c r="A14" s="57" t="s">
        <v>98</v>
      </c>
      <c r="B14" s="64"/>
      <c r="C14" s="106">
        <f>E14-'[1]Denmark'!E14</f>
        <v>-139</v>
      </c>
      <c r="D14" s="95">
        <f>F14-'[1]Denmark'!F14</f>
        <v>-86</v>
      </c>
      <c r="E14" s="60">
        <v>0</v>
      </c>
      <c r="F14" s="95">
        <v>0</v>
      </c>
      <c r="G14" s="95">
        <v>0</v>
      </c>
      <c r="H14" s="95">
        <v>0</v>
      </c>
      <c r="I14" s="95">
        <v>0</v>
      </c>
      <c r="J14" s="95"/>
      <c r="K14" s="95"/>
      <c r="L14" s="95">
        <v>0</v>
      </c>
      <c r="M14" s="95"/>
      <c r="N14" s="95">
        <v>0</v>
      </c>
      <c r="O14" s="95">
        <f>SUM(R14:U14)</f>
        <v>0</v>
      </c>
      <c r="P14" s="54"/>
      <c r="Q14" s="86"/>
    </row>
    <row r="15" spans="1:17" ht="12.75">
      <c r="A15" s="57" t="s">
        <v>13</v>
      </c>
      <c r="B15" s="64"/>
      <c r="C15" s="106">
        <f>E15-'[1]Denmark'!E15</f>
        <v>0</v>
      </c>
      <c r="D15" s="95">
        <f>F15-'[1]Denmark'!F15</f>
        <v>0</v>
      </c>
      <c r="E15" s="60">
        <v>0</v>
      </c>
      <c r="F15" s="95"/>
      <c r="G15" s="95">
        <v>0</v>
      </c>
      <c r="H15" s="95">
        <v>0</v>
      </c>
      <c r="I15" s="95">
        <v>0</v>
      </c>
      <c r="J15" s="95"/>
      <c r="K15" s="95"/>
      <c r="L15" s="95"/>
      <c r="M15" s="95"/>
      <c r="N15" s="95">
        <v>37</v>
      </c>
      <c r="O15" s="95">
        <v>46</v>
      </c>
      <c r="P15" s="54"/>
      <c r="Q15" s="86"/>
    </row>
    <row r="16" spans="1:17" ht="12.75">
      <c r="A16" s="57" t="s">
        <v>35</v>
      </c>
      <c r="B16" s="64"/>
      <c r="C16" s="106">
        <f>E16-'[1]Denmark'!E16</f>
        <v>-1</v>
      </c>
      <c r="D16" s="95">
        <f>F16-'[1]Denmark'!F16</f>
        <v>0</v>
      </c>
      <c r="E16" s="60">
        <v>17</v>
      </c>
      <c r="F16" s="95"/>
      <c r="G16" s="95">
        <v>16</v>
      </c>
      <c r="H16" s="95">
        <v>0</v>
      </c>
      <c r="I16" s="95">
        <v>9</v>
      </c>
      <c r="J16" s="95">
        <v>5</v>
      </c>
      <c r="K16" s="95">
        <v>10</v>
      </c>
      <c r="L16" s="95">
        <v>0</v>
      </c>
      <c r="M16" s="95"/>
      <c r="N16" s="95"/>
      <c r="O16" s="95"/>
      <c r="P16" s="54"/>
      <c r="Q16" s="86"/>
    </row>
    <row r="17" spans="1:17" ht="12.75">
      <c r="A17" s="57" t="s">
        <v>87</v>
      </c>
      <c r="B17" s="64">
        <f t="shared" si="0"/>
        <v>1.098703888334995</v>
      </c>
      <c r="C17" s="106">
        <f>E17-'[1]Denmark'!E17</f>
        <v>-43</v>
      </c>
      <c r="D17" s="95">
        <f>F17-'[1]Denmark'!F17</f>
        <v>-61</v>
      </c>
      <c r="E17" s="60">
        <v>2105</v>
      </c>
      <c r="F17" s="95">
        <v>1003</v>
      </c>
      <c r="G17" s="95">
        <v>1180</v>
      </c>
      <c r="H17" s="95">
        <v>1159</v>
      </c>
      <c r="I17" s="95">
        <v>1083</v>
      </c>
      <c r="J17" s="95">
        <v>865</v>
      </c>
      <c r="K17" s="95">
        <v>907</v>
      </c>
      <c r="L17" s="95">
        <v>415</v>
      </c>
      <c r="M17" s="95">
        <v>460</v>
      </c>
      <c r="N17" s="95">
        <v>395</v>
      </c>
      <c r="O17" s="95">
        <v>265</v>
      </c>
      <c r="P17" s="54"/>
      <c r="Q17" s="86"/>
    </row>
    <row r="18" spans="1:17" ht="13.5" thickBot="1">
      <c r="A18" s="58" t="s">
        <v>6</v>
      </c>
      <c r="B18" s="65">
        <f t="shared" si="0"/>
        <v>3.259259259259259</v>
      </c>
      <c r="C18" s="106">
        <f>E18-'[1]Denmark'!E18</f>
        <v>-85</v>
      </c>
      <c r="D18" s="95">
        <f>F18-'[1]Denmark'!F18</f>
        <v>-22</v>
      </c>
      <c r="E18" s="60">
        <v>575</v>
      </c>
      <c r="F18" s="95">
        <v>135</v>
      </c>
      <c r="G18" s="95">
        <v>175</v>
      </c>
      <c r="H18" s="96">
        <v>200</v>
      </c>
      <c r="I18" s="96">
        <v>154</v>
      </c>
      <c r="J18" s="96">
        <v>198</v>
      </c>
      <c r="K18" s="96">
        <v>176</v>
      </c>
      <c r="L18" s="96">
        <v>271</v>
      </c>
      <c r="M18" s="96">
        <v>100</v>
      </c>
      <c r="N18" s="96">
        <v>452</v>
      </c>
      <c r="O18" s="96">
        <v>331</v>
      </c>
      <c r="P18" s="53">
        <v>616</v>
      </c>
      <c r="Q18" s="87">
        <v>478</v>
      </c>
    </row>
    <row r="19" spans="1:17" ht="13.5" thickBot="1">
      <c r="A19" s="59" t="s">
        <v>92</v>
      </c>
      <c r="B19" s="110">
        <f t="shared" si="0"/>
        <v>1.0389764446703948</v>
      </c>
      <c r="C19" s="93">
        <f>E19-'[1]Denmark'!E19</f>
        <v>-2764</v>
      </c>
      <c r="D19" s="130">
        <f>F19-'[1]Denmark'!F19</f>
        <v>-1979</v>
      </c>
      <c r="E19" s="62">
        <f>SUM(E2:E18)</f>
        <v>12032</v>
      </c>
      <c r="F19" s="130">
        <f aca="true" t="shared" si="1" ref="F19:K19">SUM(F2:F18)</f>
        <v>5901</v>
      </c>
      <c r="G19" s="130">
        <f t="shared" si="1"/>
        <v>10581</v>
      </c>
      <c r="H19" s="130">
        <f t="shared" si="1"/>
        <v>9889</v>
      </c>
      <c r="I19" s="130">
        <f t="shared" si="1"/>
        <v>8319</v>
      </c>
      <c r="J19" s="130">
        <f t="shared" si="1"/>
        <v>8468</v>
      </c>
      <c r="K19" s="130">
        <f t="shared" si="1"/>
        <v>6041</v>
      </c>
      <c r="L19" s="130">
        <f aca="true" t="shared" si="2" ref="L19:Q19">SUM(L2:L18)</f>
        <v>6712</v>
      </c>
      <c r="M19" s="130">
        <f t="shared" si="2"/>
        <v>5948</v>
      </c>
      <c r="N19" s="130">
        <f t="shared" si="2"/>
        <v>7965</v>
      </c>
      <c r="O19" s="130">
        <f t="shared" si="2"/>
        <v>9656</v>
      </c>
      <c r="P19" s="63">
        <f t="shared" si="2"/>
        <v>6700</v>
      </c>
      <c r="Q19" s="43">
        <f t="shared" si="2"/>
        <v>4635</v>
      </c>
    </row>
    <row r="20" ht="12.75">
      <c r="G20" s="9"/>
    </row>
    <row r="21" spans="2:17" ht="13.5" thickBot="1">
      <c r="B21" s="3"/>
      <c r="C21" s="3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3"/>
      <c r="Q21" s="3"/>
    </row>
    <row r="22" spans="1:17" s="73" customFormat="1" ht="13.5" thickBot="1">
      <c r="A22" s="71" t="s">
        <v>121</v>
      </c>
      <c r="B22" s="32" t="s">
        <v>177</v>
      </c>
      <c r="C22" s="66" t="s">
        <v>176</v>
      </c>
      <c r="D22" s="112" t="s">
        <v>173</v>
      </c>
      <c r="E22" s="171">
        <v>43466</v>
      </c>
      <c r="F22" s="33">
        <v>43101</v>
      </c>
      <c r="G22" s="33">
        <v>42736</v>
      </c>
      <c r="H22" s="119">
        <f>H1</f>
        <v>42370</v>
      </c>
      <c r="I22" s="119">
        <f>I1</f>
        <v>42005</v>
      </c>
      <c r="J22" s="119">
        <v>41640</v>
      </c>
      <c r="K22" s="119">
        <v>41275</v>
      </c>
      <c r="L22" s="119">
        <v>40909</v>
      </c>
      <c r="M22" s="119">
        <v>40544</v>
      </c>
      <c r="N22" s="119">
        <v>40179</v>
      </c>
      <c r="O22" s="119">
        <v>39814</v>
      </c>
      <c r="P22" s="72">
        <v>39448</v>
      </c>
      <c r="Q22" s="88">
        <v>39083</v>
      </c>
    </row>
    <row r="23" spans="1:17" s="70" customFormat="1" ht="12.75">
      <c r="A23" s="74" t="s">
        <v>7</v>
      </c>
      <c r="B23" s="75"/>
      <c r="C23" s="104">
        <f>E23-'[1]Denmark'!E23</f>
        <v>0</v>
      </c>
      <c r="D23" s="100">
        <f>F23-'[1]Denmark'!F23</f>
        <v>0</v>
      </c>
      <c r="E23" s="76">
        <v>222</v>
      </c>
      <c r="F23" s="100">
        <v>0</v>
      </c>
      <c r="G23" s="100">
        <v>36</v>
      </c>
      <c r="H23" s="100">
        <v>145</v>
      </c>
      <c r="I23" s="100">
        <v>0</v>
      </c>
      <c r="J23" s="100">
        <v>384</v>
      </c>
      <c r="K23" s="100">
        <v>70</v>
      </c>
      <c r="L23" s="100">
        <v>216</v>
      </c>
      <c r="M23" s="100">
        <v>0</v>
      </c>
      <c r="N23" s="100">
        <v>0</v>
      </c>
      <c r="O23" s="100">
        <f>SUM(R23:S23)</f>
        <v>0</v>
      </c>
      <c r="P23" s="77">
        <f>B38</f>
        <v>0</v>
      </c>
      <c r="Q23" s="89">
        <f>B60</f>
        <v>0</v>
      </c>
    </row>
    <row r="24" spans="1:17" s="70" customFormat="1" ht="12.75">
      <c r="A24" s="74" t="s">
        <v>149</v>
      </c>
      <c r="B24" s="75"/>
      <c r="C24" s="104">
        <f>E24-'[1]Denmark'!E24</f>
        <v>0</v>
      </c>
      <c r="D24" s="100">
        <f>F24-'[1]Denmark'!F24</f>
        <v>0</v>
      </c>
      <c r="E24" s="76"/>
      <c r="F24" s="100">
        <v>0</v>
      </c>
      <c r="G24" s="100">
        <v>0</v>
      </c>
      <c r="H24" s="100">
        <v>0</v>
      </c>
      <c r="I24" s="100">
        <v>0</v>
      </c>
      <c r="J24" s="100"/>
      <c r="K24" s="100">
        <v>6</v>
      </c>
      <c r="L24" s="100">
        <v>1</v>
      </c>
      <c r="M24" s="100"/>
      <c r="N24" s="100"/>
      <c r="O24" s="100"/>
      <c r="P24" s="77"/>
      <c r="Q24" s="89"/>
    </row>
    <row r="25" spans="1:17" s="70" customFormat="1" ht="13.5" thickBot="1">
      <c r="A25" s="78" t="s">
        <v>6</v>
      </c>
      <c r="B25" s="79"/>
      <c r="C25" s="104">
        <f>E25-'[1]Denmark'!E25</f>
        <v>-83</v>
      </c>
      <c r="D25" s="100">
        <f>F25-'[1]Denmark'!F25</f>
        <v>0</v>
      </c>
      <c r="E25" s="76">
        <v>321</v>
      </c>
      <c r="F25" s="100">
        <v>0</v>
      </c>
      <c r="G25" s="101">
        <v>40</v>
      </c>
      <c r="H25" s="101">
        <v>193</v>
      </c>
      <c r="I25" s="101">
        <v>15</v>
      </c>
      <c r="J25" s="101">
        <v>273</v>
      </c>
      <c r="K25" s="101">
        <v>30</v>
      </c>
      <c r="L25" s="101">
        <v>37</v>
      </c>
      <c r="M25" s="101">
        <v>0</v>
      </c>
      <c r="N25" s="101">
        <v>0</v>
      </c>
      <c r="O25" s="101">
        <f>SUM(R25:S25)</f>
        <v>0</v>
      </c>
      <c r="P25" s="81">
        <v>30</v>
      </c>
      <c r="Q25" s="90">
        <f>B69</f>
        <v>0</v>
      </c>
    </row>
    <row r="26" spans="1:17" s="70" customFormat="1" ht="13.5" thickBot="1">
      <c r="A26" s="82" t="s">
        <v>92</v>
      </c>
      <c r="B26" s="83"/>
      <c r="C26" s="123">
        <f>E26-'[1]Denmark'!E26</f>
        <v>-83</v>
      </c>
      <c r="D26" s="120">
        <f>F26-'[1]Denmark'!F26</f>
        <v>0</v>
      </c>
      <c r="E26" s="84">
        <f>SUM(E23:E25)</f>
        <v>543</v>
      </c>
      <c r="F26" s="120">
        <v>0</v>
      </c>
      <c r="G26" s="120">
        <f>SUM(G23:G25)</f>
        <v>76</v>
      </c>
      <c r="H26" s="120">
        <f aca="true" t="shared" si="3" ref="H26:M26">SUM(H23:H25)</f>
        <v>338</v>
      </c>
      <c r="I26" s="120">
        <f t="shared" si="3"/>
        <v>15</v>
      </c>
      <c r="J26" s="120">
        <f t="shared" si="3"/>
        <v>657</v>
      </c>
      <c r="K26" s="120">
        <f t="shared" si="3"/>
        <v>106</v>
      </c>
      <c r="L26" s="120">
        <f t="shared" si="3"/>
        <v>254</v>
      </c>
      <c r="M26" s="120">
        <f t="shared" si="3"/>
        <v>0</v>
      </c>
      <c r="N26" s="120">
        <v>0</v>
      </c>
      <c r="O26" s="120">
        <f>SUM(O23:O25)</f>
        <v>0</v>
      </c>
      <c r="P26" s="85">
        <f>SUM(P23:P25)</f>
        <v>30</v>
      </c>
      <c r="Q26" s="91">
        <f>SUM(Q23:Q25)</f>
        <v>0</v>
      </c>
    </row>
    <row r="27" spans="4:15" s="70" customFormat="1" ht="12.75">
      <c r="D27" s="132"/>
      <c r="E27" s="132"/>
      <c r="F27" s="132"/>
      <c r="H27" s="132"/>
      <c r="I27" s="132"/>
      <c r="J27" s="132"/>
      <c r="K27" s="132"/>
      <c r="L27" s="132"/>
      <c r="M27" s="132"/>
      <c r="N27" s="132"/>
      <c r="O27" s="132"/>
    </row>
    <row r="28" spans="1:15" s="70" customFormat="1" ht="12.75">
      <c r="A28" s="73"/>
      <c r="D28" s="132"/>
      <c r="E28" s="132"/>
      <c r="F28" s="132"/>
      <c r="H28" s="132"/>
      <c r="I28" s="132"/>
      <c r="J28" s="132"/>
      <c r="K28" s="132"/>
      <c r="L28" s="132"/>
      <c r="M28" s="132"/>
      <c r="N28" s="132"/>
      <c r="O28" s="132"/>
    </row>
    <row r="29" spans="4:15" s="70" customFormat="1" ht="12.75">
      <c r="D29" s="132"/>
      <c r="E29" s="132"/>
      <c r="F29" s="132"/>
      <c r="H29" s="132"/>
      <c r="I29" s="132"/>
      <c r="J29" s="132"/>
      <c r="K29" s="132"/>
      <c r="L29" s="132"/>
      <c r="M29" s="132"/>
      <c r="N29" s="132"/>
      <c r="O29" s="132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2.421875" style="0" customWidth="1"/>
    <col min="4" max="6" width="12.28125" style="9" customWidth="1"/>
    <col min="7" max="7" width="10.7109375" style="0" customWidth="1"/>
    <col min="8" max="15" width="10.7109375" style="9" customWidth="1"/>
  </cols>
  <sheetData>
    <row r="1" spans="1:15" ht="13.5" thickBot="1">
      <c r="A1" s="56" t="s">
        <v>24</v>
      </c>
      <c r="B1" s="32" t="s">
        <v>177</v>
      </c>
      <c r="C1" s="66" t="s">
        <v>176</v>
      </c>
      <c r="D1" s="112" t="s">
        <v>173</v>
      </c>
      <c r="E1" s="171">
        <v>43466</v>
      </c>
      <c r="F1" s="33">
        <v>43101</v>
      </c>
      <c r="G1" s="33">
        <v>42736</v>
      </c>
      <c r="H1" s="33">
        <v>42370</v>
      </c>
      <c r="I1" s="33">
        <v>42005</v>
      </c>
      <c r="J1" s="33">
        <v>41640</v>
      </c>
      <c r="K1" s="33">
        <v>41275</v>
      </c>
      <c r="L1" s="33">
        <v>40909</v>
      </c>
      <c r="M1" s="33">
        <v>40544</v>
      </c>
      <c r="N1" s="33">
        <v>40179</v>
      </c>
      <c r="O1" s="52">
        <v>39814</v>
      </c>
    </row>
    <row r="2" spans="1:15" ht="12.75">
      <c r="A2" s="57" t="s">
        <v>120</v>
      </c>
      <c r="B2" s="64">
        <f>(E2-F2)/F2</f>
        <v>-0.2817818389491719</v>
      </c>
      <c r="C2" s="106">
        <f>E2-'[1]France'!E2</f>
        <v>-3150</v>
      </c>
      <c r="D2" s="95">
        <f>F2-'[1]France'!F2</f>
        <v>-1672</v>
      </c>
      <c r="E2" s="60">
        <v>6288</v>
      </c>
      <c r="F2" s="95">
        <v>8755</v>
      </c>
      <c r="G2" s="145">
        <v>10662</v>
      </c>
      <c r="H2" s="144">
        <v>9848</v>
      </c>
      <c r="I2" s="144">
        <v>15575</v>
      </c>
      <c r="J2" s="144">
        <v>18299</v>
      </c>
      <c r="K2" s="144">
        <v>11440</v>
      </c>
      <c r="L2" s="144">
        <v>16421</v>
      </c>
      <c r="M2" s="144">
        <v>14300</v>
      </c>
      <c r="N2" s="144">
        <v>9759</v>
      </c>
      <c r="O2" s="141">
        <v>6781</v>
      </c>
    </row>
    <row r="3" spans="1:15" ht="12.75">
      <c r="A3" s="57" t="s">
        <v>125</v>
      </c>
      <c r="B3" s="64">
        <f aca="true" t="shared" si="0" ref="B3:B26">(E3-F3)/F3</f>
        <v>0.14617203665385753</v>
      </c>
      <c r="C3" s="106">
        <f>E3-'[1]France'!E3</f>
        <v>-3514</v>
      </c>
      <c r="D3" s="95">
        <f>F3-'[1]France'!F3</f>
        <v>-2044</v>
      </c>
      <c r="E3" s="60">
        <v>23265</v>
      </c>
      <c r="F3" s="95">
        <v>20298</v>
      </c>
      <c r="G3" s="145">
        <v>20344</v>
      </c>
      <c r="H3" s="145">
        <v>22657</v>
      </c>
      <c r="I3" s="145">
        <v>17959</v>
      </c>
      <c r="J3" s="145">
        <v>22076</v>
      </c>
      <c r="K3" s="145">
        <v>14438</v>
      </c>
      <c r="L3" s="145">
        <v>18783</v>
      </c>
      <c r="M3" s="145">
        <v>16525</v>
      </c>
      <c r="N3" s="145">
        <v>17760</v>
      </c>
      <c r="O3" s="141">
        <v>13825</v>
      </c>
    </row>
    <row r="4" spans="1:15" ht="12.75">
      <c r="A4" s="57" t="s">
        <v>4</v>
      </c>
      <c r="B4" s="64">
        <f t="shared" si="0"/>
        <v>1.731920199501247</v>
      </c>
      <c r="C4" s="106">
        <f>E4-'[1]France'!E4</f>
        <v>-1057</v>
      </c>
      <c r="D4" s="95">
        <f>F4-'[1]France'!F4</f>
        <v>-750</v>
      </c>
      <c r="E4" s="60">
        <v>2191</v>
      </c>
      <c r="F4" s="95">
        <v>802</v>
      </c>
      <c r="G4" s="95">
        <v>2839</v>
      </c>
      <c r="H4" s="95">
        <v>2778</v>
      </c>
      <c r="I4" s="95">
        <v>3240</v>
      </c>
      <c r="J4" s="95">
        <v>2379</v>
      </c>
      <c r="K4" s="95">
        <v>885</v>
      </c>
      <c r="L4" s="95">
        <v>4972</v>
      </c>
      <c r="M4" s="95">
        <v>3227</v>
      </c>
      <c r="N4" s="95">
        <v>7048</v>
      </c>
      <c r="O4" s="97">
        <v>4281</v>
      </c>
    </row>
    <row r="5" spans="1:15" ht="12.75">
      <c r="A5" s="57" t="s">
        <v>11</v>
      </c>
      <c r="B5" s="64">
        <f t="shared" si="0"/>
        <v>-0.08817375292936057</v>
      </c>
      <c r="C5" s="106">
        <f>E5-'[1]France'!E5</f>
        <v>-3374</v>
      </c>
      <c r="D5" s="95">
        <f>F5-'[1]France'!F5</f>
        <v>-2748</v>
      </c>
      <c r="E5" s="60">
        <v>21789</v>
      </c>
      <c r="F5" s="95">
        <v>23896</v>
      </c>
      <c r="G5" s="95">
        <v>25253</v>
      </c>
      <c r="H5" s="95">
        <v>31369</v>
      </c>
      <c r="I5" s="95">
        <v>23814</v>
      </c>
      <c r="J5" s="95">
        <v>36275</v>
      </c>
      <c r="K5" s="95">
        <v>15888</v>
      </c>
      <c r="L5" s="95">
        <v>45804</v>
      </c>
      <c r="M5" s="95">
        <v>39169</v>
      </c>
      <c r="N5" s="95">
        <v>56050</v>
      </c>
      <c r="O5" s="97">
        <v>35364</v>
      </c>
    </row>
    <row r="6" spans="1:15" ht="12.75">
      <c r="A6" s="57" t="s">
        <v>29</v>
      </c>
      <c r="B6" s="64"/>
      <c r="C6" s="106">
        <f>E6-'[1]France'!E6</f>
        <v>0</v>
      </c>
      <c r="D6" s="95">
        <f>F6-'[1]France'!F6</f>
        <v>0</v>
      </c>
      <c r="E6" s="60">
        <v>0</v>
      </c>
      <c r="F6" s="95"/>
      <c r="G6" s="95"/>
      <c r="H6" s="95"/>
      <c r="I6" s="95"/>
      <c r="J6" s="95"/>
      <c r="K6" s="95"/>
      <c r="L6" s="95">
        <v>1048</v>
      </c>
      <c r="M6" s="95">
        <v>1811</v>
      </c>
      <c r="N6" s="95">
        <v>3569</v>
      </c>
      <c r="O6" s="97">
        <v>3594</v>
      </c>
    </row>
    <row r="7" spans="1:15" ht="12.75">
      <c r="A7" s="57" t="s">
        <v>145</v>
      </c>
      <c r="B7" s="64">
        <f t="shared" si="0"/>
        <v>0.15483870967741936</v>
      </c>
      <c r="C7" s="106">
        <f>E7-'[1]France'!E7</f>
        <v>-268</v>
      </c>
      <c r="D7" s="95">
        <f>F7-'[1]France'!F7</f>
        <v>125</v>
      </c>
      <c r="E7" s="60">
        <v>4296</v>
      </c>
      <c r="F7" s="95">
        <v>3720</v>
      </c>
      <c r="G7" s="95">
        <v>3602</v>
      </c>
      <c r="H7" s="95">
        <v>3510</v>
      </c>
      <c r="I7" s="95">
        <v>2214</v>
      </c>
      <c r="J7" s="95">
        <v>1269</v>
      </c>
      <c r="K7" s="95">
        <v>1098</v>
      </c>
      <c r="L7" s="95">
        <v>2330</v>
      </c>
      <c r="M7" s="95">
        <v>1925</v>
      </c>
      <c r="N7" s="95">
        <v>155</v>
      </c>
      <c r="O7" s="97"/>
    </row>
    <row r="8" spans="1:15" ht="12.75">
      <c r="A8" s="57" t="s">
        <v>61</v>
      </c>
      <c r="B8" s="64">
        <f t="shared" si="0"/>
        <v>0.17588500888611364</v>
      </c>
      <c r="C8" s="106">
        <f>E8-'[1]France'!E8</f>
        <v>-17057</v>
      </c>
      <c r="D8" s="95">
        <f>F8-'[1]France'!F8</f>
        <v>-9949</v>
      </c>
      <c r="E8" s="60">
        <v>97923</v>
      </c>
      <c r="F8" s="95">
        <v>83276</v>
      </c>
      <c r="G8" s="95">
        <v>81144</v>
      </c>
      <c r="H8" s="95">
        <v>80576</v>
      </c>
      <c r="I8" s="95">
        <v>77973</v>
      </c>
      <c r="J8" s="95">
        <v>72391</v>
      </c>
      <c r="K8" s="95">
        <v>46324</v>
      </c>
      <c r="L8" s="95">
        <v>61037</v>
      </c>
      <c r="M8" s="95">
        <v>51425</v>
      </c>
      <c r="N8" s="95">
        <v>49442</v>
      </c>
      <c r="O8" s="97"/>
    </row>
    <row r="9" spans="1:15" ht="12.75">
      <c r="A9" s="57" t="s">
        <v>2</v>
      </c>
      <c r="B9" s="64">
        <f t="shared" si="0"/>
        <v>0.32540154669839383</v>
      </c>
      <c r="C9" s="106">
        <f>E9-'[1]France'!E9</f>
        <v>-793</v>
      </c>
      <c r="D9" s="95">
        <f>F9-'[1]France'!F9</f>
        <v>-586</v>
      </c>
      <c r="E9" s="60">
        <v>2228</v>
      </c>
      <c r="F9" s="95">
        <v>1681</v>
      </c>
      <c r="G9" s="95">
        <v>701</v>
      </c>
      <c r="H9" s="95">
        <v>505</v>
      </c>
      <c r="I9" s="95">
        <v>838</v>
      </c>
      <c r="J9" s="95">
        <v>1036</v>
      </c>
      <c r="K9" s="95">
        <v>743</v>
      </c>
      <c r="L9" s="95">
        <v>1445</v>
      </c>
      <c r="M9" s="95">
        <v>1096</v>
      </c>
      <c r="N9" s="95">
        <v>2034</v>
      </c>
      <c r="O9" s="97">
        <v>781</v>
      </c>
    </row>
    <row r="10" spans="1:15" ht="12.75">
      <c r="A10" s="57" t="s">
        <v>12</v>
      </c>
      <c r="B10" s="64">
        <f t="shared" si="0"/>
        <v>-0.33150413817920116</v>
      </c>
      <c r="C10" s="106">
        <f>E10-'[1]France'!E10</f>
        <v>-1694</v>
      </c>
      <c r="D10" s="95">
        <f>F10-'[1]France'!F10</f>
        <v>-1893</v>
      </c>
      <c r="E10" s="60">
        <v>14862</v>
      </c>
      <c r="F10" s="95">
        <v>22232</v>
      </c>
      <c r="G10" s="95">
        <v>17355</v>
      </c>
      <c r="H10" s="95">
        <v>22725</v>
      </c>
      <c r="I10" s="95">
        <v>15084</v>
      </c>
      <c r="J10" s="95">
        <v>25773</v>
      </c>
      <c r="K10" s="95">
        <v>11886</v>
      </c>
      <c r="L10" s="95">
        <v>20625</v>
      </c>
      <c r="M10" s="95">
        <v>20883</v>
      </c>
      <c r="N10" s="95">
        <v>21477</v>
      </c>
      <c r="O10" s="97">
        <v>15320</v>
      </c>
    </row>
    <row r="11" spans="1:15" ht="12.75">
      <c r="A11" s="57" t="s">
        <v>9</v>
      </c>
      <c r="B11" s="64">
        <f t="shared" si="0"/>
        <v>0.05293452564497893</v>
      </c>
      <c r="C11" s="106">
        <f>E11-'[1]France'!E11</f>
        <v>-23539</v>
      </c>
      <c r="D11" s="95">
        <f>F11-'[1]France'!F11</f>
        <v>-14012</v>
      </c>
      <c r="E11" s="60">
        <v>81952</v>
      </c>
      <c r="F11" s="95">
        <v>77832</v>
      </c>
      <c r="G11" s="95">
        <v>60646</v>
      </c>
      <c r="H11" s="95">
        <v>48072</v>
      </c>
      <c r="I11" s="95">
        <v>51433</v>
      </c>
      <c r="J11" s="95">
        <v>56269</v>
      </c>
      <c r="K11" s="95">
        <v>38681</v>
      </c>
      <c r="L11" s="95">
        <v>57883</v>
      </c>
      <c r="M11" s="95">
        <v>59477</v>
      </c>
      <c r="N11" s="95">
        <v>55320</v>
      </c>
      <c r="O11" s="97">
        <v>48775</v>
      </c>
    </row>
    <row r="12" spans="1:15" ht="12.75">
      <c r="A12" s="57" t="s">
        <v>3</v>
      </c>
      <c r="B12" s="64">
        <f t="shared" si="0"/>
        <v>-0.0328088770158609</v>
      </c>
      <c r="C12" s="106">
        <f>E12-'[1]France'!E12</f>
        <v>-17740</v>
      </c>
      <c r="D12" s="95">
        <f>F12-'[1]France'!F12</f>
        <v>-15074</v>
      </c>
      <c r="E12" s="60">
        <v>167267</v>
      </c>
      <c r="F12" s="95">
        <v>172941</v>
      </c>
      <c r="G12" s="95">
        <v>186687</v>
      </c>
      <c r="H12" s="95">
        <v>194612</v>
      </c>
      <c r="I12" s="95">
        <v>187022</v>
      </c>
      <c r="J12" s="95">
        <v>222457</v>
      </c>
      <c r="K12" s="95">
        <v>121350</v>
      </c>
      <c r="L12" s="95">
        <v>206929</v>
      </c>
      <c r="M12" s="95">
        <v>209945</v>
      </c>
      <c r="N12" s="95">
        <v>231775</v>
      </c>
      <c r="O12" s="97">
        <v>157006</v>
      </c>
    </row>
    <row r="13" spans="1:15" ht="12.75">
      <c r="A13" s="57" t="s">
        <v>137</v>
      </c>
      <c r="B13" s="64">
        <f t="shared" si="0"/>
        <v>0.07142857142857142</v>
      </c>
      <c r="C13" s="106">
        <f>E13-'[1]France'!E13</f>
        <v>-118</v>
      </c>
      <c r="D13" s="95">
        <f>F13-'[1]France'!F13</f>
        <v>-22</v>
      </c>
      <c r="E13" s="60">
        <v>2655</v>
      </c>
      <c r="F13" s="95">
        <v>2478</v>
      </c>
      <c r="G13" s="95">
        <v>2064</v>
      </c>
      <c r="H13" s="95">
        <v>2283</v>
      </c>
      <c r="I13" s="95">
        <v>2771</v>
      </c>
      <c r="J13" s="95">
        <v>3125</v>
      </c>
      <c r="K13" s="95">
        <v>1955</v>
      </c>
      <c r="L13" s="95">
        <v>3674</v>
      </c>
      <c r="M13" s="95">
        <v>1964</v>
      </c>
      <c r="N13" s="95">
        <v>1716</v>
      </c>
      <c r="O13" s="97">
        <v>466</v>
      </c>
    </row>
    <row r="14" spans="1:15" ht="12.75">
      <c r="A14" s="57" t="s">
        <v>17</v>
      </c>
      <c r="B14" s="64">
        <f t="shared" si="0"/>
        <v>-0.1511111111111111</v>
      </c>
      <c r="C14" s="106">
        <f>E14-'[1]France'!E14</f>
        <v>-11664</v>
      </c>
      <c r="D14" s="95">
        <f>F14-'[1]France'!F14</f>
        <v>-8611</v>
      </c>
      <c r="E14" s="60">
        <v>60165</v>
      </c>
      <c r="F14" s="95">
        <v>70875</v>
      </c>
      <c r="G14" s="95">
        <v>58451</v>
      </c>
      <c r="H14" s="95">
        <v>78474</v>
      </c>
      <c r="I14" s="95">
        <v>60776</v>
      </c>
      <c r="J14" s="95">
        <v>80968</v>
      </c>
      <c r="K14" s="95">
        <v>51992</v>
      </c>
      <c r="L14" s="95">
        <v>75463</v>
      </c>
      <c r="M14" s="95">
        <v>66298</v>
      </c>
      <c r="N14" s="95">
        <v>68901</v>
      </c>
      <c r="O14" s="97">
        <v>62971</v>
      </c>
    </row>
    <row r="15" spans="1:15" ht="12.75">
      <c r="A15" s="57" t="s">
        <v>128</v>
      </c>
      <c r="B15" s="64">
        <f t="shared" si="0"/>
        <v>0.13352524357838796</v>
      </c>
      <c r="C15" s="106">
        <f>E15-'[1]France'!E15</f>
        <v>-1468</v>
      </c>
      <c r="D15" s="95">
        <f>F15-'[1]France'!F15</f>
        <v>-1480</v>
      </c>
      <c r="E15" s="60">
        <v>5119</v>
      </c>
      <c r="F15" s="95">
        <v>4516</v>
      </c>
      <c r="G15" s="95">
        <v>5452</v>
      </c>
      <c r="H15" s="95">
        <v>4630</v>
      </c>
      <c r="I15" s="95">
        <v>8008</v>
      </c>
      <c r="J15" s="95">
        <v>6756</v>
      </c>
      <c r="K15" s="95">
        <v>3681</v>
      </c>
      <c r="L15" s="95">
        <v>1370</v>
      </c>
      <c r="M15" s="95">
        <v>3977</v>
      </c>
      <c r="N15" s="95">
        <v>672</v>
      </c>
      <c r="O15" s="97">
        <v>5875</v>
      </c>
    </row>
    <row r="16" spans="1:16" ht="12.75">
      <c r="A16" s="57" t="s">
        <v>10</v>
      </c>
      <c r="B16" s="64">
        <f t="shared" si="0"/>
        <v>-0.19982158786797502</v>
      </c>
      <c r="C16" s="106">
        <f>E16-'[1]France'!E16</f>
        <v>-395</v>
      </c>
      <c r="D16" s="95">
        <f>F16-'[1]France'!F16</f>
        <v>-37</v>
      </c>
      <c r="E16" s="60">
        <v>897</v>
      </c>
      <c r="F16" s="95">
        <v>1121</v>
      </c>
      <c r="G16" s="95">
        <v>884</v>
      </c>
      <c r="H16" s="95">
        <v>964</v>
      </c>
      <c r="I16" s="95">
        <v>969</v>
      </c>
      <c r="J16" s="95">
        <v>1724</v>
      </c>
      <c r="K16" s="95">
        <v>916</v>
      </c>
      <c r="L16" s="95">
        <v>1562</v>
      </c>
      <c r="M16" s="95">
        <v>1748</v>
      </c>
      <c r="N16" s="95">
        <v>2154</v>
      </c>
      <c r="O16" s="97">
        <v>1724</v>
      </c>
      <c r="P16" s="1"/>
    </row>
    <row r="17" spans="1:16" ht="12.75">
      <c r="A17" s="57" t="s">
        <v>127</v>
      </c>
      <c r="B17" s="64">
        <f t="shared" si="0"/>
        <v>0.08949818934299017</v>
      </c>
      <c r="C17" s="106">
        <f>E17-'[1]France'!E17</f>
        <v>-3194</v>
      </c>
      <c r="D17" s="95">
        <f>F17-'[1]France'!F17</f>
        <v>-1642</v>
      </c>
      <c r="E17" s="60">
        <v>14742</v>
      </c>
      <c r="F17" s="95">
        <v>13531</v>
      </c>
      <c r="G17" s="95">
        <v>10163</v>
      </c>
      <c r="H17" s="95">
        <v>11422</v>
      </c>
      <c r="I17" s="95">
        <v>8707</v>
      </c>
      <c r="J17" s="95">
        <v>8284</v>
      </c>
      <c r="K17" s="95">
        <v>5980</v>
      </c>
      <c r="L17" s="95">
        <v>9406</v>
      </c>
      <c r="M17" s="95">
        <v>7559</v>
      </c>
      <c r="N17" s="95">
        <v>10043</v>
      </c>
      <c r="O17" s="97">
        <v>3147</v>
      </c>
      <c r="P17" s="1"/>
    </row>
    <row r="18" spans="1:16" ht="12.75">
      <c r="A18" s="57" t="s">
        <v>27</v>
      </c>
      <c r="B18" s="64">
        <f t="shared" si="0"/>
        <v>0.23485477178423236</v>
      </c>
      <c r="C18" s="106">
        <f>E18-'[1]France'!E18</f>
        <v>-1569</v>
      </c>
      <c r="D18" s="95">
        <f>F18-'[1]France'!F18</f>
        <v>-1081</v>
      </c>
      <c r="E18" s="60">
        <v>11904</v>
      </c>
      <c r="F18" s="95">
        <v>9640</v>
      </c>
      <c r="G18" s="95">
        <v>8688</v>
      </c>
      <c r="H18" s="95">
        <v>8899</v>
      </c>
      <c r="I18" s="95">
        <v>4569</v>
      </c>
      <c r="J18" s="95">
        <v>5377</v>
      </c>
      <c r="K18" s="95">
        <v>2452</v>
      </c>
      <c r="L18" s="95">
        <v>6423</v>
      </c>
      <c r="M18" s="95">
        <v>7304</v>
      </c>
      <c r="N18" s="95">
        <v>11802</v>
      </c>
      <c r="O18" s="97">
        <v>6939</v>
      </c>
      <c r="P18" s="1"/>
    </row>
    <row r="19" spans="1:15" s="16" customFormat="1" ht="12.75">
      <c r="A19" s="57" t="s">
        <v>119</v>
      </c>
      <c r="B19" s="64">
        <f t="shared" si="0"/>
        <v>2.3304347826086955</v>
      </c>
      <c r="C19" s="106">
        <f>E19-'[1]France'!E19</f>
        <v>-167</v>
      </c>
      <c r="D19" s="95">
        <f>F19-'[1]France'!F19</f>
        <v>-152</v>
      </c>
      <c r="E19" s="60">
        <v>383</v>
      </c>
      <c r="F19" s="95">
        <v>115</v>
      </c>
      <c r="G19" s="95">
        <v>69</v>
      </c>
      <c r="H19" s="95">
        <v>278</v>
      </c>
      <c r="I19" s="95">
        <v>200</v>
      </c>
      <c r="J19" s="95">
        <v>367</v>
      </c>
      <c r="K19" s="95">
        <v>204</v>
      </c>
      <c r="L19" s="95">
        <v>1013</v>
      </c>
      <c r="M19" s="95">
        <v>281</v>
      </c>
      <c r="N19" s="95">
        <v>766</v>
      </c>
      <c r="O19" s="97">
        <v>259</v>
      </c>
    </row>
    <row r="20" spans="1:15" ht="12.75">
      <c r="A20" s="57" t="s">
        <v>88</v>
      </c>
      <c r="B20" s="64">
        <f t="shared" si="0"/>
        <v>0.046953647359326875</v>
      </c>
      <c r="C20" s="106">
        <f>E20-'[1]France'!E20</f>
        <v>-1770</v>
      </c>
      <c r="D20" s="95">
        <f>F20-'[1]France'!F20</f>
        <v>-1852</v>
      </c>
      <c r="E20" s="60">
        <v>13936</v>
      </c>
      <c r="F20" s="95">
        <v>13311</v>
      </c>
      <c r="G20" s="95">
        <v>10733</v>
      </c>
      <c r="H20" s="95">
        <v>11980</v>
      </c>
      <c r="I20" s="95">
        <v>11647</v>
      </c>
      <c r="J20" s="95">
        <v>14668</v>
      </c>
      <c r="K20" s="95">
        <v>5405</v>
      </c>
      <c r="L20" s="95">
        <v>15636</v>
      </c>
      <c r="M20" s="95">
        <v>14600</v>
      </c>
      <c r="N20" s="95">
        <v>14922</v>
      </c>
      <c r="O20" s="97">
        <v>12800</v>
      </c>
    </row>
    <row r="21" spans="1:15" ht="12.75">
      <c r="A21" s="57" t="s">
        <v>126</v>
      </c>
      <c r="B21" s="64">
        <f t="shared" si="0"/>
        <v>-0.10259167043911271</v>
      </c>
      <c r="C21" s="106">
        <f>E21-'[1]France'!E21</f>
        <v>-2656</v>
      </c>
      <c r="D21" s="95">
        <f>F21-'[1]France'!F21</f>
        <v>-2678</v>
      </c>
      <c r="E21" s="60">
        <v>15859</v>
      </c>
      <c r="F21" s="95">
        <v>17672</v>
      </c>
      <c r="G21" s="95">
        <v>12995</v>
      </c>
      <c r="H21" s="95">
        <v>17324</v>
      </c>
      <c r="I21" s="95">
        <v>11518</v>
      </c>
      <c r="J21" s="95">
        <v>19377</v>
      </c>
      <c r="K21" s="95">
        <v>8719</v>
      </c>
      <c r="L21" s="95">
        <v>15894</v>
      </c>
      <c r="M21" s="95">
        <v>15534</v>
      </c>
      <c r="N21" s="95">
        <v>20693</v>
      </c>
      <c r="O21" s="97">
        <v>13152</v>
      </c>
    </row>
    <row r="22" spans="1:15" ht="12.75">
      <c r="A22" s="57" t="s">
        <v>115</v>
      </c>
      <c r="B22" s="64">
        <f t="shared" si="0"/>
        <v>0.5203488372093024</v>
      </c>
      <c r="C22" s="106">
        <f>E22-'[1]France'!E22</f>
        <v>-423</v>
      </c>
      <c r="D22" s="95">
        <f>F22-'[1]France'!F22</f>
        <v>-150</v>
      </c>
      <c r="E22" s="60">
        <v>1046</v>
      </c>
      <c r="F22" s="95">
        <v>688</v>
      </c>
      <c r="G22" s="95">
        <v>523</v>
      </c>
      <c r="H22" s="95">
        <v>1282</v>
      </c>
      <c r="I22" s="95">
        <v>673</v>
      </c>
      <c r="J22" s="95">
        <v>1869</v>
      </c>
      <c r="K22" s="95">
        <v>752</v>
      </c>
      <c r="L22" s="95">
        <v>1464</v>
      </c>
      <c r="M22" s="95">
        <v>1049</v>
      </c>
      <c r="N22" s="95">
        <v>2339</v>
      </c>
      <c r="O22" s="97">
        <v>553</v>
      </c>
    </row>
    <row r="23" spans="1:15" ht="12.75">
      <c r="A23" s="57" t="s">
        <v>129</v>
      </c>
      <c r="B23" s="64">
        <f t="shared" si="0"/>
        <v>0.2987012987012987</v>
      </c>
      <c r="C23" s="106">
        <f>E23-'[1]France'!E23</f>
        <v>-321</v>
      </c>
      <c r="D23" s="95">
        <f>F23-'[1]France'!F23</f>
        <v>-6</v>
      </c>
      <c r="E23" s="60">
        <v>10300</v>
      </c>
      <c r="F23" s="95">
        <v>7931</v>
      </c>
      <c r="G23" s="95">
        <v>6090</v>
      </c>
      <c r="H23" s="95">
        <v>6299</v>
      </c>
      <c r="I23" s="95">
        <v>7715</v>
      </c>
      <c r="J23" s="95">
        <v>5873</v>
      </c>
      <c r="K23" s="95">
        <v>6204</v>
      </c>
      <c r="L23" s="95">
        <v>6513</v>
      </c>
      <c r="M23" s="95">
        <v>1840</v>
      </c>
      <c r="N23" s="95">
        <v>1841</v>
      </c>
      <c r="O23" s="97">
        <v>1620</v>
      </c>
    </row>
    <row r="24" spans="1:15" ht="12.75">
      <c r="A24" s="57" t="s">
        <v>124</v>
      </c>
      <c r="B24" s="64">
        <f t="shared" si="0"/>
        <v>0.05405405405405406</v>
      </c>
      <c r="C24" s="106">
        <f>E24-'[1]France'!E24</f>
        <v>-326</v>
      </c>
      <c r="D24" s="95">
        <f>F24-'[1]France'!F24</f>
        <v>-642</v>
      </c>
      <c r="E24" s="60">
        <v>3471</v>
      </c>
      <c r="F24" s="95">
        <v>3293</v>
      </c>
      <c r="G24" s="95">
        <v>3786</v>
      </c>
      <c r="H24" s="95">
        <v>4409</v>
      </c>
      <c r="I24" s="95">
        <v>2887</v>
      </c>
      <c r="J24" s="95">
        <v>5488</v>
      </c>
      <c r="K24" s="95">
        <v>4185</v>
      </c>
      <c r="L24" s="95">
        <v>4282</v>
      </c>
      <c r="M24" s="95">
        <v>4057</v>
      </c>
      <c r="N24" s="95">
        <v>4728</v>
      </c>
      <c r="O24" s="97">
        <v>3027</v>
      </c>
    </row>
    <row r="25" spans="1:15" ht="13.5" thickBot="1">
      <c r="A25" s="58" t="s">
        <v>6</v>
      </c>
      <c r="B25" s="65">
        <f t="shared" si="0"/>
        <v>0.503896597605018</v>
      </c>
      <c r="C25" s="107">
        <f>E25-'[1]France'!E25</f>
        <v>-3837</v>
      </c>
      <c r="D25" s="96">
        <f>F25-'[1]France'!F25</f>
        <v>-1803</v>
      </c>
      <c r="E25" s="61">
        <v>7912</v>
      </c>
      <c r="F25" s="96">
        <v>5261</v>
      </c>
      <c r="G25" s="96">
        <v>4104</v>
      </c>
      <c r="H25" s="96">
        <v>3216</v>
      </c>
      <c r="I25" s="96">
        <v>3628</v>
      </c>
      <c r="J25" s="96">
        <v>9566</v>
      </c>
      <c r="K25" s="96">
        <v>3183</v>
      </c>
      <c r="L25" s="96">
        <v>6441</v>
      </c>
      <c r="M25" s="96">
        <v>8193</v>
      </c>
      <c r="N25" s="96">
        <v>6627</v>
      </c>
      <c r="O25" s="98">
        <v>7025</v>
      </c>
    </row>
    <row r="26" spans="1:15" ht="13.5" thickBot="1">
      <c r="A26" s="56" t="s">
        <v>92</v>
      </c>
      <c r="B26" s="110">
        <f t="shared" si="0"/>
        <v>0.008102639322099795</v>
      </c>
      <c r="C26" s="128">
        <f>E26-'[1]France'!E26</f>
        <v>-100094</v>
      </c>
      <c r="D26" s="129">
        <f>F26-'[1]France'!F26</f>
        <v>-68759</v>
      </c>
      <c r="E26" s="174">
        <f>SUM(E2:E25)</f>
        <v>570450</v>
      </c>
      <c r="F26" s="129">
        <f>SUM(F2:F25)</f>
        <v>565865</v>
      </c>
      <c r="G26" s="130">
        <f>SUM(G2:G25)</f>
        <v>533235</v>
      </c>
      <c r="H26" s="130">
        <f>SUM(H2:H25)</f>
        <v>568112</v>
      </c>
      <c r="I26" s="130">
        <f>SUM(I2:I25)</f>
        <v>519220</v>
      </c>
      <c r="J26" s="130">
        <f aca="true" t="shared" si="1" ref="J26:O26">SUM(J2:J25)</f>
        <v>621666</v>
      </c>
      <c r="K26" s="130">
        <f t="shared" si="1"/>
        <v>358361</v>
      </c>
      <c r="L26" s="130">
        <f t="shared" si="1"/>
        <v>586418</v>
      </c>
      <c r="M26" s="130">
        <f t="shared" si="1"/>
        <v>554187</v>
      </c>
      <c r="N26" s="130">
        <f t="shared" si="1"/>
        <v>601593</v>
      </c>
      <c r="O26" s="135">
        <f t="shared" si="1"/>
        <v>405285</v>
      </c>
    </row>
    <row r="27" ht="12.75">
      <c r="G27" s="9"/>
    </row>
    <row r="28" spans="1:15" s="70" customFormat="1" ht="13.5" thickBot="1">
      <c r="A28" s="109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</row>
    <row r="29" spans="1:15" s="70" customFormat="1" ht="13.5" thickBot="1">
      <c r="A29" s="56" t="s">
        <v>25</v>
      </c>
      <c r="B29" s="32" t="s">
        <v>177</v>
      </c>
      <c r="C29" s="66" t="s">
        <v>176</v>
      </c>
      <c r="D29" s="112" t="s">
        <v>173</v>
      </c>
      <c r="E29" s="171">
        <v>43466</v>
      </c>
      <c r="F29" s="33">
        <v>43101</v>
      </c>
      <c r="G29" s="33">
        <v>42736</v>
      </c>
      <c r="H29" s="33">
        <f>H1</f>
        <v>42370</v>
      </c>
      <c r="I29" s="33">
        <f>I1</f>
        <v>42005</v>
      </c>
      <c r="J29" s="33">
        <v>41640</v>
      </c>
      <c r="K29" s="33">
        <v>41275</v>
      </c>
      <c r="L29" s="33">
        <v>40909</v>
      </c>
      <c r="M29" s="33">
        <v>40544</v>
      </c>
      <c r="N29" s="33">
        <v>40179</v>
      </c>
      <c r="O29" s="52">
        <v>39814</v>
      </c>
    </row>
    <row r="30" spans="1:15" ht="12.75">
      <c r="A30" s="74" t="s">
        <v>138</v>
      </c>
      <c r="B30" s="64">
        <f aca="true" t="shared" si="2" ref="B30:B38">(E30-F30)/F30</f>
        <v>-0.17701453104359313</v>
      </c>
      <c r="C30" s="106">
        <f>E30-'[1]France'!E30</f>
        <v>-266</v>
      </c>
      <c r="D30" s="95">
        <f>F30-'[1]France'!F30</f>
        <v>-143</v>
      </c>
      <c r="E30" s="60">
        <v>1869</v>
      </c>
      <c r="F30" s="95">
        <v>2271</v>
      </c>
      <c r="G30" s="145">
        <v>2516</v>
      </c>
      <c r="H30" s="95">
        <v>2131</v>
      </c>
      <c r="I30" s="95">
        <v>3319</v>
      </c>
      <c r="J30" s="95">
        <v>3978</v>
      </c>
      <c r="K30" s="95">
        <v>1644</v>
      </c>
      <c r="L30" s="95">
        <v>2628</v>
      </c>
      <c r="M30" s="144"/>
      <c r="N30" s="144">
        <v>2895</v>
      </c>
      <c r="O30" s="141">
        <v>1261</v>
      </c>
    </row>
    <row r="31" spans="1:15" ht="12.75">
      <c r="A31" s="74" t="s">
        <v>139</v>
      </c>
      <c r="B31" s="64"/>
      <c r="C31" s="106">
        <f>E31-'[1]France'!E31</f>
        <v>0</v>
      </c>
      <c r="D31" s="95">
        <f>F31-'[1]France'!F31</f>
        <v>0</v>
      </c>
      <c r="E31" s="60"/>
      <c r="F31" s="95"/>
      <c r="G31" s="145"/>
      <c r="H31" s="95"/>
      <c r="I31" s="95"/>
      <c r="J31" s="95"/>
      <c r="K31" s="95"/>
      <c r="L31" s="95"/>
      <c r="M31" s="145"/>
      <c r="N31" s="145">
        <v>0</v>
      </c>
      <c r="O31" s="141">
        <v>0</v>
      </c>
    </row>
    <row r="32" spans="1:15" ht="12.75">
      <c r="A32" s="74" t="s">
        <v>7</v>
      </c>
      <c r="B32" s="64">
        <f t="shared" si="2"/>
        <v>0.06884875846501129</v>
      </c>
      <c r="C32" s="106">
        <f>E32-'[1]France'!E32</f>
        <v>-1571</v>
      </c>
      <c r="D32" s="95">
        <f>F32-'[1]France'!F32</f>
        <v>-1030</v>
      </c>
      <c r="E32" s="60">
        <v>3788</v>
      </c>
      <c r="F32" s="95">
        <v>3544</v>
      </c>
      <c r="G32" s="95">
        <v>3266</v>
      </c>
      <c r="H32" s="95">
        <v>2422</v>
      </c>
      <c r="I32" s="95">
        <v>2326</v>
      </c>
      <c r="J32" s="95">
        <v>4130</v>
      </c>
      <c r="K32" s="95">
        <v>1696</v>
      </c>
      <c r="L32" s="95">
        <v>3091</v>
      </c>
      <c r="M32" s="95"/>
      <c r="N32" s="95">
        <v>3169</v>
      </c>
      <c r="O32" s="97">
        <v>1481</v>
      </c>
    </row>
    <row r="33" spans="1:15" ht="12.75">
      <c r="A33" s="74" t="s">
        <v>93</v>
      </c>
      <c r="B33" s="64">
        <f t="shared" si="2"/>
        <v>0.5920245398773006</v>
      </c>
      <c r="C33" s="106">
        <f>E33-'[1]France'!E33</f>
        <v>-774</v>
      </c>
      <c r="D33" s="95">
        <f>F33-'[1]France'!F33</f>
        <v>-672</v>
      </c>
      <c r="E33" s="60">
        <v>2076</v>
      </c>
      <c r="F33" s="95">
        <v>1304</v>
      </c>
      <c r="G33" s="95">
        <v>1097</v>
      </c>
      <c r="H33" s="95">
        <v>1287</v>
      </c>
      <c r="I33" s="95">
        <v>1413</v>
      </c>
      <c r="J33" s="95">
        <v>1110</v>
      </c>
      <c r="K33" s="95">
        <v>145</v>
      </c>
      <c r="L33" s="95">
        <v>1435</v>
      </c>
      <c r="M33" s="95"/>
      <c r="N33" s="95">
        <v>1515</v>
      </c>
      <c r="O33" s="97">
        <v>529</v>
      </c>
    </row>
    <row r="34" spans="1:15" ht="12.75">
      <c r="A34" s="74" t="s">
        <v>140</v>
      </c>
      <c r="B34" s="64"/>
      <c r="C34" s="106">
        <f>E34-'[1]France'!E34</f>
        <v>0</v>
      </c>
      <c r="D34" s="95">
        <f>F34-'[1]France'!F34</f>
        <v>0</v>
      </c>
      <c r="E34" s="60"/>
      <c r="F34" s="95"/>
      <c r="G34" s="95"/>
      <c r="H34" s="95"/>
      <c r="I34" s="95"/>
      <c r="J34" s="95"/>
      <c r="K34" s="95"/>
      <c r="L34" s="95"/>
      <c r="M34" s="95"/>
      <c r="N34" s="95">
        <v>0</v>
      </c>
      <c r="O34" s="97">
        <v>0</v>
      </c>
    </row>
    <row r="35" spans="1:15" ht="12.75">
      <c r="A35" s="74" t="s">
        <v>141</v>
      </c>
      <c r="B35" s="64">
        <f t="shared" si="2"/>
        <v>0.40229885057471265</v>
      </c>
      <c r="C35" s="106">
        <f>E35-'[1]France'!E35</f>
        <v>-106</v>
      </c>
      <c r="D35" s="95">
        <f>F35-'[1]France'!F35</f>
        <v>-96</v>
      </c>
      <c r="E35" s="60">
        <v>1098</v>
      </c>
      <c r="F35" s="95">
        <v>783</v>
      </c>
      <c r="G35" s="95">
        <v>958</v>
      </c>
      <c r="H35" s="9">
        <v>1238</v>
      </c>
      <c r="I35" s="9">
        <v>1017</v>
      </c>
      <c r="J35" s="9">
        <v>741</v>
      </c>
      <c r="K35">
        <v>763</v>
      </c>
      <c r="L35" s="9">
        <v>621</v>
      </c>
      <c r="M35" s="95"/>
      <c r="N35" s="95">
        <v>950</v>
      </c>
      <c r="O35" s="97">
        <v>786</v>
      </c>
    </row>
    <row r="36" spans="1:15" ht="12.75">
      <c r="A36" s="74" t="s">
        <v>142</v>
      </c>
      <c r="B36" s="64"/>
      <c r="C36" s="106">
        <f>E36-'[1]France'!E36</f>
        <v>0</v>
      </c>
      <c r="D36" s="95">
        <f>F36-'[1]France'!F36</f>
        <v>-418</v>
      </c>
      <c r="E36" s="60"/>
      <c r="F36" s="95"/>
      <c r="G36" s="95"/>
      <c r="H36" s="95"/>
      <c r="I36" s="95"/>
      <c r="J36" s="95"/>
      <c r="K36" s="95"/>
      <c r="L36" s="95"/>
      <c r="M36" s="95"/>
      <c r="N36" s="95">
        <v>0</v>
      </c>
      <c r="O36" s="97">
        <v>0</v>
      </c>
    </row>
    <row r="37" spans="1:15" ht="13.5" thickBot="1">
      <c r="A37" s="78" t="s">
        <v>6</v>
      </c>
      <c r="B37" s="65">
        <f t="shared" si="2"/>
        <v>-0.20116618075801748</v>
      </c>
      <c r="C37" s="107">
        <f>E37-'[1]France'!E37</f>
        <v>-799</v>
      </c>
      <c r="D37" s="96">
        <f>F37-'[1]France'!F37</f>
        <v>-522</v>
      </c>
      <c r="E37" s="61">
        <v>822</v>
      </c>
      <c r="F37" s="96">
        <v>1029</v>
      </c>
      <c r="G37" s="96">
        <v>708</v>
      </c>
      <c r="H37" s="9">
        <v>99</v>
      </c>
      <c r="I37" s="9">
        <v>208</v>
      </c>
      <c r="J37" s="9">
        <v>538</v>
      </c>
      <c r="K37">
        <v>397</v>
      </c>
      <c r="L37" s="9">
        <v>402</v>
      </c>
      <c r="M37" s="95"/>
      <c r="N37" s="95">
        <v>280</v>
      </c>
      <c r="O37" s="97">
        <v>36</v>
      </c>
    </row>
    <row r="38" spans="1:15" ht="13.5" thickBot="1">
      <c r="A38" s="56" t="s">
        <v>92</v>
      </c>
      <c r="B38" s="110">
        <f t="shared" si="2"/>
        <v>0.08084201097301534</v>
      </c>
      <c r="C38" s="128">
        <f>E38-'[1]France'!E38</f>
        <v>-3516</v>
      </c>
      <c r="D38" s="129">
        <f>F38-'[1]France'!F38</f>
        <v>-2881</v>
      </c>
      <c r="E38" s="174">
        <f>SUM(E30:E37)</f>
        <v>9653</v>
      </c>
      <c r="F38" s="129">
        <f>SUM(F30:F37)</f>
        <v>8931</v>
      </c>
      <c r="G38" s="42">
        <f aca="true" t="shared" si="3" ref="G38:L38">SUM(G30:G37)</f>
        <v>8545</v>
      </c>
      <c r="H38" s="130">
        <f t="shared" si="3"/>
        <v>7177</v>
      </c>
      <c r="I38" s="130">
        <f t="shared" si="3"/>
        <v>8283</v>
      </c>
      <c r="J38" s="130">
        <f t="shared" si="3"/>
        <v>10497</v>
      </c>
      <c r="K38" s="130">
        <f t="shared" si="3"/>
        <v>4645</v>
      </c>
      <c r="L38" s="130">
        <f t="shared" si="3"/>
        <v>8177</v>
      </c>
      <c r="M38" s="130"/>
      <c r="N38" s="130">
        <f>SUM(N30:N37)</f>
        <v>8809</v>
      </c>
      <c r="O38" s="135">
        <f>SUM(O30:O37)</f>
        <v>4093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Helene Deruwe</cp:lastModifiedBy>
  <cp:lastPrinted>2019-02-15T16:07:28Z</cp:lastPrinted>
  <dcterms:created xsi:type="dcterms:W3CDTF">2006-12-13T13:34:27Z</dcterms:created>
  <dcterms:modified xsi:type="dcterms:W3CDTF">2019-05-15T14:55:20Z</dcterms:modified>
  <cp:category/>
  <cp:version/>
  <cp:contentType/>
  <cp:contentStatus/>
</cp:coreProperties>
</file>