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500" windowWidth="28800" windowHeight="17500" tabRatio="725" activeTab="2"/>
  </bookViews>
  <sheets>
    <sheet name="Intro" sheetId="1" r:id="rId1"/>
    <sheet name="US" sheetId="2" r:id="rId2"/>
    <sheet name="EU - country" sheetId="3" r:id="rId3"/>
    <sheet name="EU - variety" sheetId="4" r:id="rId4"/>
    <sheet name="Austria" sheetId="5" r:id="rId5"/>
    <sheet name="Belgium" sheetId="6" r:id="rId6"/>
    <sheet name="Czech Republic" sheetId="7" r:id="rId7"/>
    <sheet name="Denmark" sheetId="8" r:id="rId8"/>
    <sheet name="France" sheetId="9" r:id="rId9"/>
    <sheet name="Germany" sheetId="10" r:id="rId10"/>
    <sheet name="Italy" sheetId="11" r:id="rId11"/>
    <sheet name="Sheet15" sheetId="12" state="hidden" r:id="rId12"/>
    <sheet name="Poland" sheetId="13" r:id="rId13"/>
    <sheet name="Portugal" sheetId="14" r:id="rId14"/>
    <sheet name="Slovakia" sheetId="15" r:id="rId15"/>
    <sheet name="Spain" sheetId="16" r:id="rId16"/>
    <sheet name="Switzerland" sheetId="17" r:id="rId17"/>
    <sheet name="Netherlands" sheetId="18" r:id="rId18"/>
    <sheet name="UK" sheetId="19" r:id="rId19"/>
  </sheets>
  <externalReferences>
    <externalReference r:id="rId22"/>
  </externalReferences>
  <definedNames>
    <definedName name="_xlnm.Print_Area" localSheetId="4">'Austria'!$A$1:$A$21</definedName>
    <definedName name="_xlnm.Print_Area" localSheetId="7">'Denmark'!$A$1:$R$20</definedName>
    <definedName name="_xlnm.Print_Area" localSheetId="2">'EU - country'!$A$1:$U$37</definedName>
  </definedNames>
  <calcPr fullCalcOnLoad="1"/>
</workbook>
</file>

<file path=xl/sharedStrings.xml><?xml version="1.0" encoding="utf-8"?>
<sst xmlns="http://schemas.openxmlformats.org/spreadsheetml/2006/main" count="551" uniqueCount="185">
  <si>
    <t>The Netherlands</t>
  </si>
  <si>
    <t>Elstar</t>
  </si>
  <si>
    <t>Golden Delicious</t>
  </si>
  <si>
    <t>Boskoop</t>
  </si>
  <si>
    <t>Cox Orange</t>
  </si>
  <si>
    <t>Other</t>
  </si>
  <si>
    <t>Conference</t>
  </si>
  <si>
    <t>Austria (Steiermark)</t>
  </si>
  <si>
    <t>Gala</t>
  </si>
  <si>
    <t>Idared</t>
  </si>
  <si>
    <t>Braeburn</t>
  </si>
  <si>
    <t>Fuji</t>
  </si>
  <si>
    <t>Pinova</t>
  </si>
  <si>
    <t>Gloster</t>
  </si>
  <si>
    <t>Holsteiner Cox</t>
  </si>
  <si>
    <t>Italy</t>
  </si>
  <si>
    <t>Granny Smith</t>
  </si>
  <si>
    <t>Morgendurf/imperat</t>
  </si>
  <si>
    <t>Red Delicious</t>
  </si>
  <si>
    <t>Stayman</t>
  </si>
  <si>
    <t>France</t>
  </si>
  <si>
    <t>Pink Lady</t>
  </si>
  <si>
    <t>TOTAL</t>
  </si>
  <si>
    <t>Apple Stocks (Ton)</t>
  </si>
  <si>
    <t>Pear Stocks (Ton)</t>
  </si>
  <si>
    <t>Jonagored</t>
  </si>
  <si>
    <t>Jonagold</t>
  </si>
  <si>
    <t>Germany</t>
  </si>
  <si>
    <t>Cameo</t>
  </si>
  <si>
    <t>Kaiser</t>
  </si>
  <si>
    <t>Czech Republic</t>
  </si>
  <si>
    <t>Poland</t>
  </si>
  <si>
    <t>Cortland</t>
  </si>
  <si>
    <t>Lobo</t>
  </si>
  <si>
    <t>Spartan</t>
  </si>
  <si>
    <t>Bramley</t>
  </si>
  <si>
    <t>Spain (Catalonia)</t>
  </si>
  <si>
    <t>Alexandrina</t>
  </si>
  <si>
    <t>Blanquilla</t>
  </si>
  <si>
    <t>Denmark</t>
  </si>
  <si>
    <t>Anjou</t>
  </si>
  <si>
    <t>Bosc</t>
  </si>
  <si>
    <t>Red Anjou</t>
  </si>
  <si>
    <t>Comice</t>
  </si>
  <si>
    <t>Seckel</t>
  </si>
  <si>
    <t>Other Reds</t>
  </si>
  <si>
    <t>Northwest Bartletts (Williams)</t>
  </si>
  <si>
    <t>Other Winter Varities</t>
  </si>
  <si>
    <t>Empire</t>
  </si>
  <si>
    <t>Jonathan</t>
  </si>
  <si>
    <t>McIntosh</t>
  </si>
  <si>
    <t>Mutsu/Crispin</t>
  </si>
  <si>
    <t>Newtown Pippin</t>
  </si>
  <si>
    <t>Northern Spy</t>
  </si>
  <si>
    <t>Rome</t>
  </si>
  <si>
    <t>Rome Sport</t>
  </si>
  <si>
    <t>Winesap</t>
  </si>
  <si>
    <t>York</t>
  </si>
  <si>
    <t>Others</t>
  </si>
  <si>
    <t>Switzerland</t>
  </si>
  <si>
    <t>Cripps Pink</t>
  </si>
  <si>
    <t>Content:</t>
  </si>
  <si>
    <t>US situation</t>
  </si>
  <si>
    <t>European situation per country</t>
  </si>
  <si>
    <t xml:space="preserve">Sources: </t>
  </si>
  <si>
    <t>US:</t>
  </si>
  <si>
    <t>Washington Apple Commission, Pear Bureau Northwest</t>
  </si>
  <si>
    <t>Austria:</t>
  </si>
  <si>
    <t>Landeskammer für Land- und Forstwirtschaft Steiermark</t>
  </si>
  <si>
    <t>Belgium:</t>
  </si>
  <si>
    <t>VBT</t>
  </si>
  <si>
    <t>Czech Republic:</t>
  </si>
  <si>
    <t>SAPA</t>
  </si>
  <si>
    <t>France:</t>
  </si>
  <si>
    <t>Germany:</t>
  </si>
  <si>
    <t>Italy:</t>
  </si>
  <si>
    <t>ASSOMELA, CSO</t>
  </si>
  <si>
    <t>Poland:</t>
  </si>
  <si>
    <t>Switzerland:</t>
  </si>
  <si>
    <t>Spain:</t>
  </si>
  <si>
    <t>The Netherlands:</t>
  </si>
  <si>
    <t>United Kingdom:</t>
  </si>
  <si>
    <t>Productschap Tuinbouw</t>
  </si>
  <si>
    <t>SWISSCOFEL</t>
  </si>
  <si>
    <t>SOCIETY FOR PROMOTION OF DWARF FRUIT ORCHARDS</t>
  </si>
  <si>
    <t>Central Institute for Supervising and Testing in Agriculture, Division of perennial plants</t>
  </si>
  <si>
    <t>Other new varieties³</t>
  </si>
  <si>
    <t>Reinette Grise du Canada</t>
  </si>
  <si>
    <t>Shampion</t>
  </si>
  <si>
    <t>Guyot</t>
  </si>
  <si>
    <t>Section Nationale Pommes, Section Nationale Poires</t>
  </si>
  <si>
    <t>European situation per variety</t>
  </si>
  <si>
    <t>Variety (Ton)</t>
  </si>
  <si>
    <t>Total</t>
  </si>
  <si>
    <t>Doyenne du comice</t>
  </si>
  <si>
    <t>Reinette</t>
  </si>
  <si>
    <t>AMI</t>
  </si>
  <si>
    <t>Red Jonaprince</t>
  </si>
  <si>
    <t>Other new varieties*</t>
  </si>
  <si>
    <t>Abate Fetel</t>
  </si>
  <si>
    <t>Arlet</t>
  </si>
  <si>
    <t>Kronprinz Rudolf</t>
  </si>
  <si>
    <t>Rubinette</t>
  </si>
  <si>
    <t>Topaz</t>
  </si>
  <si>
    <t>Gloster*</t>
  </si>
  <si>
    <t>* From 2007 Gloster is included in others</t>
  </si>
  <si>
    <t>Doyenne</t>
  </si>
  <si>
    <t>Bellida</t>
  </si>
  <si>
    <t>Pigoen</t>
  </si>
  <si>
    <t>Ingrid Marie</t>
  </si>
  <si>
    <t>Pear Stocks  (Ton)</t>
  </si>
  <si>
    <t>Ariane</t>
  </si>
  <si>
    <t>Belchard/Chantecler</t>
  </si>
  <si>
    <t>Goldrush</t>
  </si>
  <si>
    <t>Honey Crunch</t>
  </si>
  <si>
    <t>Jazz</t>
  </si>
  <si>
    <t>Rouges</t>
  </si>
  <si>
    <t>Reine de renettes</t>
  </si>
  <si>
    <t>Sundowner</t>
  </si>
  <si>
    <t>Tentation</t>
  </si>
  <si>
    <t>Angelys</t>
  </si>
  <si>
    <t>Beurré Hardy</t>
  </si>
  <si>
    <t>Passe Crassane</t>
  </si>
  <si>
    <t>Williams</t>
  </si>
  <si>
    <t>Morgenduft</t>
  </si>
  <si>
    <t>Decana del C.</t>
  </si>
  <si>
    <t>Fuji Group</t>
  </si>
  <si>
    <t>Gala Group</t>
  </si>
  <si>
    <t>Golden Group</t>
  </si>
  <si>
    <t>Llimonera</t>
  </si>
  <si>
    <t>Glockenapfel</t>
  </si>
  <si>
    <t>Kanada Reinette</t>
  </si>
  <si>
    <t>Maigold</t>
  </si>
  <si>
    <t>Boscs Flaschenbirne</t>
  </si>
  <si>
    <t>Gute Luise</t>
  </si>
  <si>
    <t>Jonagold (incl. Jonagored)</t>
  </si>
  <si>
    <t>Other New varieties</t>
  </si>
  <si>
    <t>Doyenne de comice</t>
  </si>
  <si>
    <t>Denmark:</t>
  </si>
  <si>
    <t>DECEMBER</t>
  </si>
  <si>
    <t>Belgium</t>
  </si>
  <si>
    <t>Club varieties</t>
  </si>
  <si>
    <t>Evelina</t>
  </si>
  <si>
    <t>Choupette</t>
  </si>
  <si>
    <t>Renette</t>
  </si>
  <si>
    <t>Annurca</t>
  </si>
  <si>
    <t>Portugal:</t>
  </si>
  <si>
    <t>ANP - Associação Nacional de Produtores de Pera Rocha</t>
  </si>
  <si>
    <t>Portugal</t>
  </si>
  <si>
    <t>Golden Delicius</t>
  </si>
  <si>
    <t>Rocha</t>
  </si>
  <si>
    <t>Doyenne du Comice</t>
  </si>
  <si>
    <t>Concorde</t>
  </si>
  <si>
    <t xml:space="preserve">* Other new varieties: Ariane, Belgica, Cameo, Choupette, Diwa, Evelina, Greenstar, Goldrush, Honey Crunch, Jazz, Junami, Kanzi, Kiku, Mairac, Rubens, Tentation (temptation), Wellant, ... </t>
  </si>
  <si>
    <t>AFRUCAT</t>
  </si>
  <si>
    <t>Bohemica</t>
  </si>
  <si>
    <t>Lucasova</t>
  </si>
  <si>
    <t>Ligol</t>
  </si>
  <si>
    <t>Honeycrisp</t>
  </si>
  <si>
    <t>Durondeau</t>
  </si>
  <si>
    <t>Williams*</t>
  </si>
  <si>
    <t>*separate category since 2015</t>
  </si>
  <si>
    <t>** From 12/2014 Cox's is included in others</t>
  </si>
  <si>
    <t>Cox**</t>
  </si>
  <si>
    <t>Forelle*</t>
  </si>
  <si>
    <t>* added as of 2016 as a seperate category</t>
  </si>
  <si>
    <t>Other new varieties</t>
  </si>
  <si>
    <t>United Kingdom**</t>
  </si>
  <si>
    <t>*Rocha pears (Portugal)are published on a different schedule. Next update will be 1/1/2019</t>
  </si>
  <si>
    <t>** As of the 2017/2018 season, the UK works with a different methodology, which is why the figures are not comparable.</t>
  </si>
  <si>
    <t>Portugal*</t>
  </si>
  <si>
    <t>*Rocha pears are published on a different schedule. Next update will be 1/1/2019</t>
  </si>
  <si>
    <t>British Apples &amp; Pears</t>
  </si>
  <si>
    <t xml:space="preserve">Figures per variety are just an estimation </t>
  </si>
  <si>
    <t>A lot of problems in cold storage, high % of apples goes to procesing</t>
  </si>
  <si>
    <t>Cosmic Crisp</t>
  </si>
  <si>
    <t>Overview Northern Hemisphere apple and pear stocks 2021-2022</t>
  </si>
  <si>
    <t>Moved 2021</t>
  </si>
  <si>
    <t>Slovakia</t>
  </si>
  <si>
    <t>Beurre Alexander Lucas**</t>
  </si>
  <si>
    <t>* From 2010 Durondeau is no longer included in others</t>
  </si>
  <si>
    <t>** From 2021-2022 Beurre Alexander Lucas is no longer included in others</t>
  </si>
  <si>
    <t>%2022/2021</t>
  </si>
  <si>
    <t>Moved 2022</t>
  </si>
  <si>
    <t>42-lb bushels to MT factor</t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</si>
</sst>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_-;\-* #,##0_-;_-* &quot;-&quot;_-;_-@_-"/>
    <numFmt numFmtId="170" formatCode="_-* #,##0.00\ &quot;€&quot;_-;\-* #,##0.00\ &quot;€&quot;_-;_-* &quot;-&quot;??\ &quot;€&quot;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€&quot;\ #,##0;&quot;€&quot;\ \-#,##0"/>
    <numFmt numFmtId="179" formatCode="&quot;€&quot;\ #,##0;[Red]&quot;€&quot;\ \-#,##0"/>
    <numFmt numFmtId="180" formatCode="&quot;€&quot;\ #,##0.00;&quot;€&quot;\ \-#,##0.00"/>
    <numFmt numFmtId="181" formatCode="&quot;€&quot;\ #,##0.00;[Red]&quot;€&quot;\ \-#,##0.00"/>
    <numFmt numFmtId="182" formatCode="_ &quot;€&quot;\ * #,##0_ ;_ &quot;€&quot;\ * \-#,##0_ ;_ &quot;€&quot;\ * &quot;-&quot;_ ;_ @_ "/>
    <numFmt numFmtId="183" formatCode="_ * #,##0_ ;_ * \-#,##0_ ;_ * &quot;-&quot;_ ;_ @_ "/>
    <numFmt numFmtId="184" formatCode="_ &quot;€&quot;\ * #,##0.00_ ;_ &quot;€&quot;\ * \-#,##0.00_ ;_ &quot;€&quot;\ * &quot;-&quot;??_ ;_ @_ "/>
    <numFmt numFmtId="185" formatCode="_ * #,##0.00_ ;_ * \-#,##0.00_ ;_ * &quot;-&quot;??_ ;_ @_ "/>
    <numFmt numFmtId="186" formatCode="_-* #,##0\ _€_-;\-* #,##0\ _€_-;_-* &quot;-&quot;\ _€_-;_-@_-"/>
    <numFmt numFmtId="187" formatCode="_-* #,##0.00\ _€_-;\-* #,##0.00\ _€_-;_-* &quot;-&quot;??\ _€_-;_-@_-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&quot;£&quot;* #,##0.00_-;\-&quot;£&quot;* #,##0.00_-;_-&quot;£&quot;* &quot;-&quot;??_-;_-@_-"/>
    <numFmt numFmtId="194" formatCode="[$-813]dddd\ d\ mmmm\ yyyy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0.0%"/>
    <numFmt numFmtId="200" formatCode="[$-809]dd\ mmmm\ yyyy"/>
    <numFmt numFmtId="201" formatCode="[$-80C]dddd\ d\ mmmm\ yyyy"/>
    <numFmt numFmtId="202" formatCode="_-* #,##0.0\ _€_-;\-* #,##0.0\ _€_-;_-* &quot;-&quot;??\ _€_-;_-@_-"/>
    <numFmt numFmtId="203" formatCode="_-* #,##0\ _€_-;\-* #,##0\ _€_-;_-* &quot;-&quot;??\ _€_-;_-@_-"/>
    <numFmt numFmtId="204" formatCode="0.0"/>
    <numFmt numFmtId="205" formatCode="\“\T\r\ue\”;\“\T\r\ue\”;\“\F\a\lse\”"/>
  </numFmts>
  <fonts count="4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4"/>
      <name val="Arial"/>
      <family val="2"/>
    </font>
    <font>
      <u val="single"/>
      <sz val="14"/>
      <name val="Arial"/>
      <family val="2"/>
    </font>
    <font>
      <i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0"/>
      <name val="Modern"/>
      <family val="3"/>
    </font>
    <font>
      <sz val="10"/>
      <name val="ArialMT"/>
      <family val="0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rgb="FFB8CCE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87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10" fillId="0" borderId="0">
      <alignment/>
      <protection/>
    </xf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40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3" fontId="0" fillId="0" borderId="0" xfId="0" applyNumberFormat="1" applyFill="1" applyBorder="1" applyAlignment="1">
      <alignment/>
    </xf>
    <xf numFmtId="3" fontId="0" fillId="0" borderId="10" xfId="0" applyNumberFormat="1" applyFill="1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Alignment="1">
      <alignment/>
    </xf>
    <xf numFmtId="0" fontId="0" fillId="33" borderId="11" xfId="0" applyFill="1" applyBorder="1" applyAlignment="1">
      <alignment/>
    </xf>
    <xf numFmtId="0" fontId="0" fillId="33" borderId="11" xfId="0" applyNumberFormat="1" applyFill="1" applyBorder="1" applyAlignment="1" quotePrefix="1">
      <alignment/>
    </xf>
    <xf numFmtId="0" fontId="0" fillId="33" borderId="11" xfId="0" applyNumberFormat="1" applyFill="1" applyBorder="1" applyAlignment="1">
      <alignment/>
    </xf>
    <xf numFmtId="0" fontId="1" fillId="33" borderId="12" xfId="0" applyFont="1" applyFill="1" applyBorder="1" applyAlignment="1">
      <alignment/>
    </xf>
    <xf numFmtId="0" fontId="1" fillId="34" borderId="13" xfId="0" applyFont="1" applyFill="1" applyBorder="1" applyAlignment="1">
      <alignment/>
    </xf>
    <xf numFmtId="14" fontId="1" fillId="0" borderId="13" xfId="0" applyNumberFormat="1" applyFont="1" applyFill="1" applyBorder="1" applyAlignment="1">
      <alignment horizontal="center"/>
    </xf>
    <xf numFmtId="14" fontId="1" fillId="0" borderId="14" xfId="0" applyNumberFormat="1" applyFont="1" applyBorder="1" applyAlignment="1">
      <alignment horizontal="center"/>
    </xf>
    <xf numFmtId="199" fontId="0" fillId="34" borderId="0" xfId="0" applyNumberFormat="1" applyFill="1" applyBorder="1" applyAlignment="1">
      <alignment/>
    </xf>
    <xf numFmtId="199" fontId="0" fillId="34" borderId="10" xfId="0" applyNumberFormat="1" applyFill="1" applyBorder="1" applyAlignment="1">
      <alignment/>
    </xf>
    <xf numFmtId="3" fontId="0" fillId="0" borderId="15" xfId="0" applyNumberFormat="1" applyBorder="1" applyAlignment="1">
      <alignment/>
    </xf>
    <xf numFmtId="0" fontId="0" fillId="33" borderId="16" xfId="0" applyFill="1" applyBorder="1" applyAlignment="1">
      <alignment/>
    </xf>
    <xf numFmtId="0" fontId="1" fillId="33" borderId="16" xfId="0" applyFont="1" applyFill="1" applyBorder="1" applyAlignment="1">
      <alignment/>
    </xf>
    <xf numFmtId="199" fontId="1" fillId="34" borderId="10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199" fontId="0" fillId="0" borderId="0" xfId="0" applyNumberFormat="1" applyFill="1" applyBorder="1" applyAlignment="1">
      <alignment/>
    </xf>
    <xf numFmtId="3" fontId="0" fillId="0" borderId="15" xfId="0" applyNumberFormat="1" applyFill="1" applyBorder="1" applyAlignment="1">
      <alignment/>
    </xf>
    <xf numFmtId="3" fontId="0" fillId="0" borderId="17" xfId="0" applyNumberFormat="1" applyFill="1" applyBorder="1" applyAlignment="1">
      <alignment/>
    </xf>
    <xf numFmtId="3" fontId="1" fillId="0" borderId="17" xfId="0" applyNumberFormat="1" applyFont="1" applyFill="1" applyBorder="1" applyAlignment="1">
      <alignment/>
    </xf>
    <xf numFmtId="14" fontId="1" fillId="35" borderId="13" xfId="0" applyNumberFormat="1" applyFont="1" applyFill="1" applyBorder="1" applyAlignment="1">
      <alignment horizontal="center"/>
    </xf>
    <xf numFmtId="0" fontId="0" fillId="0" borderId="0" xfId="57" applyAlignment="1">
      <alignment horizontal="center"/>
      <protection/>
    </xf>
    <xf numFmtId="0" fontId="0" fillId="0" borderId="0" xfId="57">
      <alignment/>
      <protection/>
    </xf>
    <xf numFmtId="0" fontId="1" fillId="36" borderId="12" xfId="57" applyFont="1" applyFill="1" applyBorder="1">
      <alignment/>
      <protection/>
    </xf>
    <xf numFmtId="14" fontId="1" fillId="0" borderId="13" xfId="57" applyNumberFormat="1" applyFont="1" applyBorder="1" applyAlignment="1">
      <alignment horizontal="center"/>
      <protection/>
    </xf>
    <xf numFmtId="0" fontId="0" fillId="0" borderId="0" xfId="57" applyFont="1">
      <alignment/>
      <protection/>
    </xf>
    <xf numFmtId="0" fontId="0" fillId="36" borderId="11" xfId="57" applyFont="1" applyFill="1" applyBorder="1">
      <alignment/>
      <protection/>
    </xf>
    <xf numFmtId="199" fontId="0" fillId="30" borderId="0" xfId="57" applyNumberFormat="1" applyFont="1" applyFill="1" applyBorder="1">
      <alignment/>
      <protection/>
    </xf>
    <xf numFmtId="3" fontId="0" fillId="35" borderId="0" xfId="57" applyNumberFormat="1" applyFont="1" applyFill="1" applyBorder="1">
      <alignment/>
      <protection/>
    </xf>
    <xf numFmtId="3" fontId="0" fillId="0" borderId="0" xfId="57" applyNumberFormat="1" applyFont="1" applyBorder="1">
      <alignment/>
      <protection/>
    </xf>
    <xf numFmtId="3" fontId="0" fillId="0" borderId="0" xfId="57" applyNumberFormat="1" applyBorder="1">
      <alignment/>
      <protection/>
    </xf>
    <xf numFmtId="3" fontId="0" fillId="0" borderId="15" xfId="57" applyNumberFormat="1" applyBorder="1">
      <alignment/>
      <protection/>
    </xf>
    <xf numFmtId="3" fontId="0" fillId="0" borderId="0" xfId="57" applyNumberFormat="1" applyFill="1" applyBorder="1">
      <alignment/>
      <protection/>
    </xf>
    <xf numFmtId="0" fontId="0" fillId="36" borderId="16" xfId="57" applyFont="1" applyFill="1" applyBorder="1">
      <alignment/>
      <protection/>
    </xf>
    <xf numFmtId="199" fontId="0" fillId="30" borderId="10" xfId="57" applyNumberFormat="1" applyFont="1" applyFill="1" applyBorder="1">
      <alignment/>
      <protection/>
    </xf>
    <xf numFmtId="3" fontId="0" fillId="35" borderId="10" xfId="57" applyNumberFormat="1" applyFont="1" applyFill="1" applyBorder="1">
      <alignment/>
      <protection/>
    </xf>
    <xf numFmtId="3" fontId="0" fillId="0" borderId="10" xfId="57" applyNumberFormat="1" applyFont="1" applyBorder="1">
      <alignment/>
      <protection/>
    </xf>
    <xf numFmtId="3" fontId="0" fillId="0" borderId="17" xfId="57" applyNumberFormat="1" applyBorder="1">
      <alignment/>
      <protection/>
    </xf>
    <xf numFmtId="0" fontId="1" fillId="36" borderId="16" xfId="57" applyFont="1" applyFill="1" applyBorder="1">
      <alignment/>
      <protection/>
    </xf>
    <xf numFmtId="199" fontId="1" fillId="30" borderId="13" xfId="57" applyNumberFormat="1" applyFont="1" applyFill="1" applyBorder="1">
      <alignment/>
      <protection/>
    </xf>
    <xf numFmtId="3" fontId="1" fillId="35" borderId="13" xfId="57" applyNumberFormat="1" applyFont="1" applyFill="1" applyBorder="1">
      <alignment/>
      <protection/>
    </xf>
    <xf numFmtId="3" fontId="1" fillId="0" borderId="13" xfId="57" applyNumberFormat="1" applyFont="1" applyBorder="1">
      <alignment/>
      <protection/>
    </xf>
    <xf numFmtId="3" fontId="1" fillId="0" borderId="14" xfId="57" applyNumberFormat="1" applyFont="1" applyBorder="1">
      <alignment/>
      <protection/>
    </xf>
    <xf numFmtId="3" fontId="0" fillId="0" borderId="0" xfId="0" applyNumberFormat="1" applyFill="1" applyBorder="1" applyAlignment="1" quotePrefix="1">
      <alignment/>
    </xf>
    <xf numFmtId="0" fontId="1" fillId="0" borderId="13" xfId="0" applyFont="1" applyFill="1" applyBorder="1" applyAlignment="1">
      <alignment horizontal="center"/>
    </xf>
    <xf numFmtId="14" fontId="1" fillId="0" borderId="13" xfId="57" applyNumberFormat="1" applyFont="1" applyFill="1" applyBorder="1">
      <alignment/>
      <protection/>
    </xf>
    <xf numFmtId="14" fontId="1" fillId="0" borderId="13" xfId="57" applyNumberFormat="1" applyFont="1" applyFill="1" applyBorder="1" applyAlignment="1">
      <alignment horizontal="center"/>
      <protection/>
    </xf>
    <xf numFmtId="14" fontId="1" fillId="0" borderId="14" xfId="57" applyNumberFormat="1" applyFont="1" applyFill="1" applyBorder="1" applyAlignment="1">
      <alignment horizontal="center"/>
      <protection/>
    </xf>
    <xf numFmtId="0" fontId="0" fillId="0" borderId="0" xfId="57" applyBorder="1">
      <alignment/>
      <protection/>
    </xf>
    <xf numFmtId="0" fontId="1" fillId="0" borderId="0" xfId="57" applyFont="1" applyFill="1" applyBorder="1">
      <alignment/>
      <protection/>
    </xf>
    <xf numFmtId="0" fontId="1" fillId="0" borderId="0" xfId="57" applyFont="1" applyFill="1" applyBorder="1" applyAlignment="1">
      <alignment horizontal="center"/>
      <protection/>
    </xf>
    <xf numFmtId="0" fontId="0" fillId="33" borderId="18" xfId="57" applyFill="1" applyBorder="1">
      <alignment/>
      <protection/>
    </xf>
    <xf numFmtId="3" fontId="0" fillId="0" borderId="19" xfId="57" applyNumberFormat="1" applyFill="1" applyBorder="1">
      <alignment/>
      <protection/>
    </xf>
    <xf numFmtId="3" fontId="0" fillId="0" borderId="20" xfId="57" applyNumberFormat="1" applyFill="1" applyBorder="1">
      <alignment/>
      <protection/>
    </xf>
    <xf numFmtId="0" fontId="0" fillId="0" borderId="0" xfId="57" applyFill="1" applyBorder="1">
      <alignment/>
      <protection/>
    </xf>
    <xf numFmtId="0" fontId="0" fillId="0" borderId="0" xfId="57" applyFont="1" applyFill="1" applyBorder="1">
      <alignment/>
      <protection/>
    </xf>
    <xf numFmtId="0" fontId="0" fillId="33" borderId="11" xfId="57" applyFill="1" applyBorder="1">
      <alignment/>
      <protection/>
    </xf>
    <xf numFmtId="199" fontId="0" fillId="34" borderId="0" xfId="57" applyNumberFormat="1" applyFill="1" applyBorder="1">
      <alignment/>
      <protection/>
    </xf>
    <xf numFmtId="3" fontId="0" fillId="35" borderId="0" xfId="57" applyNumberFormat="1" applyFill="1" applyBorder="1">
      <alignment/>
      <protection/>
    </xf>
    <xf numFmtId="3" fontId="0" fillId="0" borderId="15" xfId="57" applyNumberFormat="1" applyFill="1" applyBorder="1">
      <alignment/>
      <protection/>
    </xf>
    <xf numFmtId="3" fontId="0" fillId="0" borderId="0" xfId="57" applyNumberFormat="1" applyFont="1" applyFill="1" applyBorder="1">
      <alignment/>
      <protection/>
    </xf>
    <xf numFmtId="3" fontId="0" fillId="0" borderId="15" xfId="57" applyNumberFormat="1" applyFont="1" applyFill="1" applyBorder="1">
      <alignment/>
      <protection/>
    </xf>
    <xf numFmtId="0" fontId="0" fillId="33" borderId="16" xfId="57" applyFill="1" applyBorder="1">
      <alignment/>
      <protection/>
    </xf>
    <xf numFmtId="199" fontId="0" fillId="34" borderId="10" xfId="57" applyNumberFormat="1" applyFill="1" applyBorder="1">
      <alignment/>
      <protection/>
    </xf>
    <xf numFmtId="3" fontId="0" fillId="35" borderId="10" xfId="57" applyNumberFormat="1" applyFill="1" applyBorder="1">
      <alignment/>
      <protection/>
    </xf>
    <xf numFmtId="3" fontId="0" fillId="0" borderId="10" xfId="57" applyNumberFormat="1" applyFill="1" applyBorder="1">
      <alignment/>
      <protection/>
    </xf>
    <xf numFmtId="3" fontId="0" fillId="0" borderId="17" xfId="57" applyNumberFormat="1" applyFill="1" applyBorder="1">
      <alignment/>
      <protection/>
    </xf>
    <xf numFmtId="199" fontId="1" fillId="34" borderId="10" xfId="57" applyNumberFormat="1" applyFont="1" applyFill="1" applyBorder="1">
      <alignment/>
      <protection/>
    </xf>
    <xf numFmtId="3" fontId="1" fillId="35" borderId="10" xfId="57" applyNumberFormat="1" applyFont="1" applyFill="1" applyBorder="1">
      <alignment/>
      <protection/>
    </xf>
    <xf numFmtId="3" fontId="1" fillId="0" borderId="10" xfId="57" applyNumberFormat="1" applyFont="1" applyFill="1" applyBorder="1">
      <alignment/>
      <protection/>
    </xf>
    <xf numFmtId="3" fontId="1" fillId="0" borderId="17" xfId="57" applyNumberFormat="1" applyFont="1" applyFill="1" applyBorder="1">
      <alignment/>
      <protection/>
    </xf>
    <xf numFmtId="199" fontId="0" fillId="0" borderId="0" xfId="57" applyNumberFormat="1" applyFill="1" applyBorder="1">
      <alignment/>
      <protection/>
    </xf>
    <xf numFmtId="3" fontId="0" fillId="0" borderId="0" xfId="57" applyNumberFormat="1" applyFill="1">
      <alignment/>
      <protection/>
    </xf>
    <xf numFmtId="0" fontId="0" fillId="0" borderId="0" xfId="57" applyFill="1">
      <alignment/>
      <protection/>
    </xf>
    <xf numFmtId="3" fontId="0" fillId="0" borderId="0" xfId="57" applyNumberFormat="1">
      <alignment/>
      <protection/>
    </xf>
    <xf numFmtId="0" fontId="9" fillId="0" borderId="0" xfId="57" applyFont="1" applyFill="1" applyBorder="1">
      <alignment/>
      <protection/>
    </xf>
    <xf numFmtId="0" fontId="1" fillId="0" borderId="0" xfId="57" applyFont="1" applyFill="1" applyBorder="1" applyAlignment="1">
      <alignment vertical="center"/>
      <protection/>
    </xf>
    <xf numFmtId="14" fontId="1" fillId="0" borderId="0" xfId="57" applyNumberFormat="1" applyFont="1" applyFill="1" applyBorder="1" applyAlignment="1">
      <alignment horizontal="center" vertical="center"/>
      <protection/>
    </xf>
    <xf numFmtId="0" fontId="1" fillId="0" borderId="0" xfId="57" applyFont="1" applyFill="1" applyBorder="1" applyAlignment="1">
      <alignment horizontal="left" vertical="center" wrapText="1"/>
      <protection/>
    </xf>
    <xf numFmtId="3" fontId="1" fillId="0" borderId="0" xfId="57" applyNumberFormat="1" applyFont="1" applyFill="1" applyBorder="1" applyAlignment="1">
      <alignment horizontal="left" vertical="center" wrapText="1"/>
      <protection/>
    </xf>
    <xf numFmtId="14" fontId="1" fillId="0" borderId="0" xfId="57" applyNumberFormat="1" applyFont="1" applyFill="1" applyBorder="1">
      <alignment/>
      <protection/>
    </xf>
    <xf numFmtId="9" fontId="0" fillId="0" borderId="0" xfId="57" applyNumberFormat="1" applyFill="1" applyBorder="1" applyAlignment="1">
      <alignment horizontal="center"/>
      <protection/>
    </xf>
    <xf numFmtId="0" fontId="0" fillId="0" borderId="0" xfId="57" applyNumberFormat="1" applyFill="1" applyBorder="1" quotePrefix="1">
      <alignment/>
      <protection/>
    </xf>
    <xf numFmtId="0" fontId="0" fillId="0" borderId="0" xfId="57" applyNumberFormat="1" applyFill="1" applyBorder="1">
      <alignment/>
      <protection/>
    </xf>
    <xf numFmtId="3" fontId="1" fillId="0" borderId="0" xfId="57" applyNumberFormat="1" applyFont="1" applyFill="1" applyBorder="1">
      <alignment/>
      <protection/>
    </xf>
    <xf numFmtId="9" fontId="1" fillId="0" borderId="0" xfId="57" applyNumberFormat="1" applyFont="1" applyFill="1" applyBorder="1" applyAlignment="1">
      <alignment horizontal="center" vertical="center"/>
      <protection/>
    </xf>
    <xf numFmtId="3" fontId="0" fillId="0" borderId="0" xfId="57" applyNumberFormat="1" applyFill="1" applyBorder="1" applyAlignment="1">
      <alignment horizontal="center"/>
      <protection/>
    </xf>
    <xf numFmtId="14" fontId="1" fillId="0" borderId="14" xfId="57" applyNumberFormat="1" applyFont="1" applyBorder="1" applyAlignment="1">
      <alignment horizontal="center"/>
      <protection/>
    </xf>
    <xf numFmtId="3" fontId="0" fillId="0" borderId="0" xfId="57" applyNumberFormat="1" applyFont="1">
      <alignment/>
      <protection/>
    </xf>
    <xf numFmtId="0" fontId="0" fillId="0" borderId="10" xfId="57" applyBorder="1">
      <alignment/>
      <protection/>
    </xf>
    <xf numFmtId="3" fontId="0" fillId="0" borderId="17" xfId="57" applyNumberFormat="1" applyFont="1" applyFill="1" applyBorder="1">
      <alignment/>
      <protection/>
    </xf>
    <xf numFmtId="3" fontId="1" fillId="0" borderId="13" xfId="57" applyNumberFormat="1" applyFont="1" applyFill="1" applyBorder="1">
      <alignment/>
      <protection/>
    </xf>
    <xf numFmtId="3" fontId="1" fillId="0" borderId="17" xfId="57" applyNumberFormat="1" applyFont="1" applyBorder="1">
      <alignment/>
      <protection/>
    </xf>
    <xf numFmtId="0" fontId="0" fillId="33" borderId="18" xfId="57" applyFont="1" applyFill="1" applyBorder="1">
      <alignment/>
      <protection/>
    </xf>
    <xf numFmtId="3" fontId="0" fillId="0" borderId="20" xfId="57" applyNumberFormat="1" applyFont="1" applyFill="1" applyBorder="1">
      <alignment/>
      <protection/>
    </xf>
    <xf numFmtId="3" fontId="0" fillId="0" borderId="10" xfId="57" applyNumberFormat="1" applyFont="1" applyFill="1" applyBorder="1">
      <alignment/>
      <protection/>
    </xf>
    <xf numFmtId="0" fontId="0" fillId="33" borderId="11" xfId="57" applyNumberFormat="1" applyFill="1" applyBorder="1">
      <alignment/>
      <protection/>
    </xf>
    <xf numFmtId="3" fontId="0" fillId="0" borderId="0" xfId="57" applyNumberFormat="1" applyFill="1" applyBorder="1" quotePrefix="1">
      <alignment/>
      <protection/>
    </xf>
    <xf numFmtId="0" fontId="0" fillId="33" borderId="11" xfId="57" applyNumberFormat="1" applyFill="1" applyBorder="1" quotePrefix="1">
      <alignment/>
      <protection/>
    </xf>
    <xf numFmtId="0" fontId="0" fillId="33" borderId="16" xfId="57" applyNumberFormat="1" applyFill="1" applyBorder="1" quotePrefix="1">
      <alignment/>
      <protection/>
    </xf>
    <xf numFmtId="3" fontId="0" fillId="0" borderId="10" xfId="57" applyNumberFormat="1" applyFill="1" applyBorder="1" quotePrefix="1">
      <alignment/>
      <protection/>
    </xf>
    <xf numFmtId="0" fontId="1" fillId="33" borderId="16" xfId="57" applyNumberFormat="1" applyFont="1" applyFill="1" applyBorder="1">
      <alignment/>
      <protection/>
    </xf>
    <xf numFmtId="0" fontId="3" fillId="0" borderId="0" xfId="57" applyFont="1">
      <alignment/>
      <protection/>
    </xf>
    <xf numFmtId="0" fontId="4" fillId="0" borderId="0" xfId="57" applyFont="1">
      <alignment/>
      <protection/>
    </xf>
    <xf numFmtId="0" fontId="5" fillId="0" borderId="0" xfId="57" applyFont="1">
      <alignment/>
      <protection/>
    </xf>
    <xf numFmtId="3" fontId="1" fillId="0" borderId="0" xfId="57" applyNumberFormat="1" applyFont="1">
      <alignment/>
      <protection/>
    </xf>
    <xf numFmtId="3" fontId="0" fillId="0" borderId="15" xfId="57" applyNumberFormat="1" applyFont="1" applyBorder="1">
      <alignment/>
      <protection/>
    </xf>
    <xf numFmtId="3" fontId="0" fillId="0" borderId="17" xfId="57" applyNumberFormat="1" applyFont="1" applyBorder="1">
      <alignment/>
      <protection/>
    </xf>
    <xf numFmtId="199" fontId="0" fillId="34" borderId="0" xfId="57" applyNumberFormat="1" applyFont="1" applyFill="1" applyBorder="1" applyAlignment="1">
      <alignment horizontal="right"/>
      <protection/>
    </xf>
    <xf numFmtId="3" fontId="0" fillId="35" borderId="0" xfId="57" applyNumberFormat="1" applyFont="1" applyFill="1" applyBorder="1" applyAlignment="1">
      <alignment horizontal="right"/>
      <protection/>
    </xf>
    <xf numFmtId="199" fontId="0" fillId="34" borderId="10" xfId="57" applyNumberFormat="1" applyFont="1" applyFill="1" applyBorder="1" applyAlignment="1">
      <alignment horizontal="right"/>
      <protection/>
    </xf>
    <xf numFmtId="3" fontId="0" fillId="35" borderId="10" xfId="57" applyNumberFormat="1" applyFont="1" applyFill="1" applyBorder="1" applyAlignment="1">
      <alignment horizontal="right"/>
      <protection/>
    </xf>
    <xf numFmtId="199" fontId="1" fillId="34" borderId="10" xfId="57" applyNumberFormat="1" applyFont="1" applyFill="1" applyBorder="1" applyAlignment="1">
      <alignment horizontal="right"/>
      <protection/>
    </xf>
    <xf numFmtId="3" fontId="1" fillId="35" borderId="10" xfId="57" applyNumberFormat="1" applyFont="1" applyFill="1" applyBorder="1" applyAlignment="1">
      <alignment horizontal="right"/>
      <protection/>
    </xf>
    <xf numFmtId="0" fontId="1" fillId="0" borderId="0" xfId="57" applyFont="1">
      <alignment/>
      <protection/>
    </xf>
    <xf numFmtId="199" fontId="0" fillId="34" borderId="13" xfId="57" applyNumberFormat="1" applyFont="1" applyFill="1" applyBorder="1">
      <alignment/>
      <protection/>
    </xf>
    <xf numFmtId="0" fontId="0" fillId="33" borderId="16" xfId="57" applyNumberFormat="1" applyFill="1" applyBorder="1">
      <alignment/>
      <protection/>
    </xf>
    <xf numFmtId="0" fontId="0" fillId="0" borderId="0" xfId="57" applyFont="1" applyFill="1">
      <alignment/>
      <protection/>
    </xf>
    <xf numFmtId="199" fontId="1" fillId="30" borderId="10" xfId="57" applyNumberFormat="1" applyFont="1" applyFill="1" applyBorder="1">
      <alignment/>
      <protection/>
    </xf>
    <xf numFmtId="3" fontId="0" fillId="0" borderId="15" xfId="57" applyNumberFormat="1" applyFont="1" applyFill="1" applyBorder="1" applyAlignment="1">
      <alignment horizontal="right"/>
      <protection/>
    </xf>
    <xf numFmtId="3" fontId="1" fillId="0" borderId="17" xfId="57" applyNumberFormat="1" applyFont="1" applyFill="1" applyBorder="1" applyAlignment="1">
      <alignment horizontal="right"/>
      <protection/>
    </xf>
    <xf numFmtId="3" fontId="1" fillId="0" borderId="14" xfId="57" applyNumberFormat="1" applyFont="1" applyFill="1" applyBorder="1">
      <alignment/>
      <protection/>
    </xf>
    <xf numFmtId="3" fontId="0" fillId="0" borderId="0" xfId="57" applyNumberFormat="1" applyFont="1" applyFill="1" applyBorder="1" applyAlignment="1">
      <alignment horizontal="right"/>
      <protection/>
    </xf>
    <xf numFmtId="3" fontId="0" fillId="0" borderId="10" xfId="57" applyNumberFormat="1" applyFont="1" applyFill="1" applyBorder="1" applyAlignment="1">
      <alignment horizontal="right"/>
      <protection/>
    </xf>
    <xf numFmtId="3" fontId="1" fillId="0" borderId="10" xfId="57" applyNumberFormat="1" applyFont="1" applyFill="1" applyBorder="1" applyAlignment="1">
      <alignment horizontal="right"/>
      <protection/>
    </xf>
    <xf numFmtId="0" fontId="1" fillId="0" borderId="0" xfId="0" applyFont="1" applyAlignment="1">
      <alignment/>
    </xf>
    <xf numFmtId="0" fontId="0" fillId="36" borderId="18" xfId="57" applyFont="1" applyFill="1" applyBorder="1">
      <alignment/>
      <protection/>
    </xf>
    <xf numFmtId="199" fontId="0" fillId="30" borderId="19" xfId="57" applyNumberFormat="1" applyFont="1" applyFill="1" applyBorder="1">
      <alignment/>
      <protection/>
    </xf>
    <xf numFmtId="0" fontId="1" fillId="36" borderId="12" xfId="0" applyFont="1" applyFill="1" applyBorder="1" applyAlignment="1">
      <alignment/>
    </xf>
    <xf numFmtId="14" fontId="1" fillId="0" borderId="14" xfId="0" applyNumberFormat="1" applyFont="1" applyFill="1" applyBorder="1" applyAlignment="1">
      <alignment horizontal="center"/>
    </xf>
    <xf numFmtId="0" fontId="0" fillId="36" borderId="11" xfId="0" applyFont="1" applyFill="1" applyBorder="1" applyAlignment="1">
      <alignment/>
    </xf>
    <xf numFmtId="199" fontId="0" fillId="30" borderId="0" xfId="0" applyNumberFormat="1" applyFont="1" applyFill="1" applyBorder="1" applyAlignment="1">
      <alignment/>
    </xf>
    <xf numFmtId="3" fontId="0" fillId="0" borderId="15" xfId="0" applyNumberFormat="1" applyFont="1" applyFill="1" applyBorder="1" applyAlignment="1">
      <alignment/>
    </xf>
    <xf numFmtId="0" fontId="0" fillId="36" borderId="16" xfId="0" applyFont="1" applyFill="1" applyBorder="1" applyAlignment="1">
      <alignment/>
    </xf>
    <xf numFmtId="199" fontId="0" fillId="30" borderId="10" xfId="0" applyNumberFormat="1" applyFont="1" applyFill="1" applyBorder="1" applyAlignment="1">
      <alignment/>
    </xf>
    <xf numFmtId="0" fontId="1" fillId="36" borderId="16" xfId="0" applyFont="1" applyFill="1" applyBorder="1" applyAlignment="1">
      <alignment/>
    </xf>
    <xf numFmtId="199" fontId="1" fillId="30" borderId="10" xfId="0" applyNumberFormat="1" applyFont="1" applyFill="1" applyBorder="1" applyAlignment="1">
      <alignment/>
    </xf>
    <xf numFmtId="3" fontId="1" fillId="0" borderId="14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1" fillId="0" borderId="13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3" fontId="0" fillId="0" borderId="19" xfId="57" applyNumberFormat="1" applyFont="1" applyFill="1" applyBorder="1">
      <alignment/>
      <protection/>
    </xf>
    <xf numFmtId="3" fontId="0" fillId="8" borderId="19" xfId="0" applyNumberFormat="1" applyFont="1" applyFill="1" applyBorder="1" applyAlignment="1">
      <alignment horizontal="right"/>
    </xf>
    <xf numFmtId="3" fontId="0" fillId="8" borderId="0" xfId="0" applyNumberFormat="1" applyFont="1" applyFill="1" applyBorder="1" applyAlignment="1">
      <alignment horizontal="right"/>
    </xf>
    <xf numFmtId="3" fontId="0" fillId="8" borderId="10" xfId="0" applyNumberFormat="1" applyFont="1" applyFill="1" applyBorder="1" applyAlignment="1">
      <alignment horizontal="right"/>
    </xf>
    <xf numFmtId="3" fontId="0" fillId="37" borderId="0" xfId="57" applyNumberFormat="1" applyFont="1" applyFill="1" applyBorder="1">
      <alignment/>
      <protection/>
    </xf>
    <xf numFmtId="3" fontId="0" fillId="37" borderId="10" xfId="57" applyNumberFormat="1" applyFont="1" applyFill="1" applyBorder="1">
      <alignment/>
      <protection/>
    </xf>
    <xf numFmtId="3" fontId="1" fillId="37" borderId="13" xfId="57" applyNumberFormat="1" applyFont="1" applyFill="1" applyBorder="1">
      <alignment/>
      <protection/>
    </xf>
    <xf numFmtId="199" fontId="0" fillId="0" borderId="0" xfId="0" applyNumberFormat="1" applyFont="1" applyFill="1" applyBorder="1" applyAlignment="1">
      <alignment/>
    </xf>
    <xf numFmtId="199" fontId="0" fillId="0" borderId="10" xfId="0" applyNumberFormat="1" applyFont="1" applyFill="1" applyBorder="1" applyAlignment="1">
      <alignment/>
    </xf>
    <xf numFmtId="199" fontId="1" fillId="0" borderId="10" xfId="0" applyNumberFormat="1" applyFont="1" applyFill="1" applyBorder="1" applyAlignment="1">
      <alignment/>
    </xf>
    <xf numFmtId="199" fontId="0" fillId="0" borderId="0" xfId="57" applyNumberFormat="1" applyFont="1" applyFill="1" applyBorder="1">
      <alignment/>
      <protection/>
    </xf>
    <xf numFmtId="199" fontId="1" fillId="0" borderId="13" xfId="57" applyNumberFormat="1" applyFont="1" applyFill="1" applyBorder="1">
      <alignment/>
      <protection/>
    </xf>
    <xf numFmtId="3" fontId="0" fillId="0" borderId="0" xfId="57" applyNumberFormat="1" applyFill="1" applyBorder="1" applyAlignment="1">
      <alignment horizontal="right"/>
      <protection/>
    </xf>
    <xf numFmtId="3" fontId="1" fillId="8" borderId="13" xfId="0" applyNumberFormat="1" applyFont="1" applyFill="1" applyBorder="1" applyAlignment="1">
      <alignment horizontal="right"/>
    </xf>
    <xf numFmtId="199" fontId="1" fillId="34" borderId="13" xfId="0" applyNumberFormat="1" applyFont="1" applyFill="1" applyBorder="1" applyAlignment="1">
      <alignment/>
    </xf>
    <xf numFmtId="0" fontId="0" fillId="0" borderId="11" xfId="0" applyFill="1" applyBorder="1" applyAlignment="1">
      <alignment/>
    </xf>
    <xf numFmtId="199" fontId="0" fillId="34" borderId="13" xfId="57" applyNumberFormat="1" applyFill="1" applyBorder="1">
      <alignment/>
      <protection/>
    </xf>
    <xf numFmtId="14" fontId="0" fillId="0" borderId="0" xfId="57" applyNumberFormat="1" applyFont="1" applyFill="1" applyBorder="1" applyAlignment="1">
      <alignment horizontal="center"/>
      <protection/>
    </xf>
    <xf numFmtId="14" fontId="0" fillId="0" borderId="0" xfId="57" applyNumberFormat="1" applyFont="1" applyBorder="1" applyAlignment="1">
      <alignment horizontal="center"/>
      <protection/>
    </xf>
    <xf numFmtId="14" fontId="0" fillId="0" borderId="15" xfId="57" applyNumberFormat="1" applyFont="1" applyBorder="1" applyAlignment="1">
      <alignment horizontal="center"/>
      <protection/>
    </xf>
    <xf numFmtId="0" fontId="0" fillId="0" borderId="0" xfId="57" applyFont="1" applyBorder="1">
      <alignment/>
      <protection/>
    </xf>
    <xf numFmtId="3" fontId="0" fillId="0" borderId="0" xfId="0" applyNumberFormat="1" applyFill="1" applyBorder="1" applyAlignment="1">
      <alignment horizontal="right"/>
    </xf>
    <xf numFmtId="0" fontId="1" fillId="38" borderId="13" xfId="0" applyFont="1" applyFill="1" applyBorder="1" applyAlignment="1">
      <alignment/>
    </xf>
    <xf numFmtId="3" fontId="1" fillId="0" borderId="13" xfId="0" applyNumberFormat="1" applyFont="1" applyFill="1" applyBorder="1" applyAlignment="1">
      <alignment horizontal="right"/>
    </xf>
    <xf numFmtId="3" fontId="0" fillId="38" borderId="0" xfId="0" applyNumberFormat="1" applyFill="1" applyBorder="1" applyAlignment="1">
      <alignment/>
    </xf>
    <xf numFmtId="3" fontId="1" fillId="38" borderId="13" xfId="0" applyNumberFormat="1" applyFont="1" applyFill="1" applyBorder="1" applyAlignment="1">
      <alignment/>
    </xf>
    <xf numFmtId="3" fontId="0" fillId="38" borderId="10" xfId="0" applyNumberFormat="1" applyFill="1" applyBorder="1" applyAlignment="1">
      <alignment/>
    </xf>
    <xf numFmtId="3" fontId="1" fillId="38" borderId="10" xfId="0" applyNumberFormat="1" applyFont="1" applyFill="1" applyBorder="1" applyAlignment="1">
      <alignment/>
    </xf>
    <xf numFmtId="3" fontId="0" fillId="35" borderId="0" xfId="57" applyNumberFormat="1" applyFill="1" applyBorder="1" applyAlignment="1">
      <alignment horizontal="right"/>
      <protection/>
    </xf>
    <xf numFmtId="199" fontId="1" fillId="38" borderId="13" xfId="57" applyNumberFormat="1" applyFont="1" applyFill="1" applyBorder="1">
      <alignment/>
      <protection/>
    </xf>
    <xf numFmtId="3" fontId="0" fillId="35" borderId="0" xfId="57" applyNumberFormat="1" applyFill="1" applyBorder="1" quotePrefix="1">
      <alignment/>
      <protection/>
    </xf>
    <xf numFmtId="199" fontId="0" fillId="38" borderId="0" xfId="57" applyNumberFormat="1" applyFont="1" applyFill="1" applyBorder="1">
      <alignment/>
      <protection/>
    </xf>
    <xf numFmtId="14" fontId="0" fillId="0" borderId="0" xfId="0" applyNumberFormat="1" applyFont="1" applyFill="1" applyBorder="1" applyAlignment="1">
      <alignment horizontal="center"/>
    </xf>
    <xf numFmtId="3" fontId="1" fillId="0" borderId="13" xfId="57" applyNumberFormat="1" applyFont="1" applyFill="1" applyBorder="1">
      <alignment/>
      <protection/>
    </xf>
    <xf numFmtId="3" fontId="1" fillId="0" borderId="13" xfId="57" applyNumberFormat="1" applyFont="1" applyFill="1" applyBorder="1" applyAlignment="1">
      <alignment horizontal="right"/>
      <protection/>
    </xf>
    <xf numFmtId="199" fontId="0" fillId="38" borderId="0" xfId="0" applyNumberFormat="1" applyFont="1" applyFill="1" applyBorder="1" applyAlignment="1">
      <alignment/>
    </xf>
    <xf numFmtId="199" fontId="0" fillId="38" borderId="10" xfId="0" applyNumberFormat="1" applyFont="1" applyFill="1" applyBorder="1" applyAlignment="1">
      <alignment/>
    </xf>
    <xf numFmtId="199" fontId="1" fillId="38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199" fontId="0" fillId="35" borderId="0" xfId="0" applyNumberFormat="1" applyFont="1" applyFill="1" applyBorder="1" applyAlignment="1">
      <alignment/>
    </xf>
    <xf numFmtId="199" fontId="0" fillId="35" borderId="10" xfId="0" applyNumberFormat="1" applyFont="1" applyFill="1" applyBorder="1" applyAlignment="1">
      <alignment/>
    </xf>
    <xf numFmtId="199" fontId="1" fillId="35" borderId="10" xfId="0" applyNumberFormat="1" applyFont="1" applyFill="1" applyBorder="1" applyAlignment="1">
      <alignment/>
    </xf>
    <xf numFmtId="199" fontId="0" fillId="35" borderId="0" xfId="57" applyNumberFormat="1" applyFont="1" applyFill="1" applyBorder="1">
      <alignment/>
      <protection/>
    </xf>
    <xf numFmtId="199" fontId="1" fillId="35" borderId="13" xfId="57" applyNumberFormat="1" applyFont="1" applyFill="1" applyBorder="1">
      <alignment/>
      <protection/>
    </xf>
    <xf numFmtId="3" fontId="0" fillId="38" borderId="0" xfId="57" applyNumberFormat="1" applyFont="1" applyFill="1" applyBorder="1">
      <alignment/>
      <protection/>
    </xf>
    <xf numFmtId="3" fontId="1" fillId="38" borderId="13" xfId="57" applyNumberFormat="1" applyFont="1" applyFill="1" applyBorder="1">
      <alignment/>
      <protection/>
    </xf>
    <xf numFmtId="3" fontId="0" fillId="38" borderId="0" xfId="57" applyNumberFormat="1" applyFill="1" applyBorder="1">
      <alignment/>
      <protection/>
    </xf>
    <xf numFmtId="3" fontId="0" fillId="38" borderId="10" xfId="57" applyNumberFormat="1" applyFill="1" applyBorder="1">
      <alignment/>
      <protection/>
    </xf>
    <xf numFmtId="3" fontId="1" fillId="38" borderId="10" xfId="57" applyNumberFormat="1" applyFont="1" applyFill="1" applyBorder="1">
      <alignment/>
      <protection/>
    </xf>
    <xf numFmtId="3" fontId="0" fillId="38" borderId="0" xfId="57" applyNumberFormat="1" applyFont="1" applyFill="1" applyBorder="1" applyAlignment="1">
      <alignment horizontal="right"/>
      <protection/>
    </xf>
    <xf numFmtId="3" fontId="1" fillId="38" borderId="10" xfId="57" applyNumberFormat="1" applyFont="1" applyFill="1" applyBorder="1" applyAlignment="1">
      <alignment horizontal="right"/>
      <protection/>
    </xf>
    <xf numFmtId="3" fontId="0" fillId="38" borderId="10" xfId="57" applyNumberFormat="1" applyFont="1" applyFill="1" applyBorder="1" applyAlignment="1">
      <alignment horizontal="right"/>
      <protection/>
    </xf>
    <xf numFmtId="3" fontId="0" fillId="38" borderId="10" xfId="57" applyNumberFormat="1" applyFont="1" applyFill="1" applyBorder="1">
      <alignment/>
      <protection/>
    </xf>
    <xf numFmtId="3" fontId="0" fillId="38" borderId="0" xfId="0" applyNumberFormat="1" applyFont="1" applyFill="1" applyBorder="1" applyAlignment="1">
      <alignment/>
    </xf>
    <xf numFmtId="3" fontId="0" fillId="35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right"/>
    </xf>
    <xf numFmtId="3" fontId="0" fillId="0" borderId="10" xfId="57" applyNumberFormat="1" applyFill="1" applyBorder="1" applyAlignment="1">
      <alignment horizontal="right"/>
      <protection/>
    </xf>
    <xf numFmtId="14" fontId="1" fillId="0" borderId="13" xfId="0" applyNumberFormat="1" applyFont="1" applyFill="1" applyBorder="1" applyAlignment="1">
      <alignment/>
    </xf>
    <xf numFmtId="199" fontId="0" fillId="0" borderId="0" xfId="57" applyNumberFormat="1" applyFill="1">
      <alignment/>
      <protection/>
    </xf>
    <xf numFmtId="0" fontId="0" fillId="0" borderId="0" xfId="0" applyFont="1" applyFill="1" applyAlignment="1">
      <alignment horizontal="right"/>
    </xf>
    <xf numFmtId="3" fontId="0" fillId="0" borderId="13" xfId="57" applyNumberFormat="1" applyFill="1" applyBorder="1">
      <alignment/>
      <protection/>
    </xf>
    <xf numFmtId="0" fontId="1" fillId="33" borderId="12" xfId="0" applyNumberFormat="1" applyFont="1" applyFill="1" applyBorder="1" applyAlignment="1">
      <alignment/>
    </xf>
    <xf numFmtId="3" fontId="1" fillId="35" borderId="13" xfId="0" applyNumberFormat="1" applyFont="1" applyFill="1" applyBorder="1" applyAlignment="1">
      <alignment horizontal="right"/>
    </xf>
    <xf numFmtId="3" fontId="1" fillId="0" borderId="14" xfId="0" applyNumberFormat="1" applyFont="1" applyBorder="1" applyAlignment="1">
      <alignment/>
    </xf>
    <xf numFmtId="0" fontId="1" fillId="33" borderId="12" xfId="57" applyNumberFormat="1" applyFont="1" applyFill="1" applyBorder="1">
      <alignment/>
      <protection/>
    </xf>
    <xf numFmtId="199" fontId="1" fillId="34" borderId="13" xfId="57" applyNumberFormat="1" applyFont="1" applyFill="1" applyBorder="1" applyAlignment="1">
      <alignment horizontal="right"/>
      <protection/>
    </xf>
    <xf numFmtId="3" fontId="1" fillId="38" borderId="13" xfId="57" applyNumberFormat="1" applyFont="1" applyFill="1" applyBorder="1" applyAlignment="1">
      <alignment horizontal="right"/>
      <protection/>
    </xf>
    <xf numFmtId="3" fontId="1" fillId="35" borderId="13" xfId="57" applyNumberFormat="1" applyFont="1" applyFill="1" applyBorder="1" applyAlignment="1">
      <alignment horizontal="right"/>
      <protection/>
    </xf>
    <xf numFmtId="3" fontId="1" fillId="0" borderId="14" xfId="57" applyNumberFormat="1" applyFont="1" applyFill="1" applyBorder="1" applyAlignment="1">
      <alignment horizontal="right"/>
      <protection/>
    </xf>
    <xf numFmtId="3" fontId="0" fillId="35" borderId="0" xfId="0" applyNumberFormat="1" applyFill="1" applyBorder="1" applyAlignment="1">
      <alignment/>
    </xf>
    <xf numFmtId="3" fontId="0" fillId="35" borderId="10" xfId="0" applyNumberFormat="1" applyFill="1" applyBorder="1" applyAlignment="1">
      <alignment/>
    </xf>
    <xf numFmtId="3" fontId="1" fillId="35" borderId="10" xfId="0" applyNumberFormat="1" applyFont="1" applyFill="1" applyBorder="1" applyAlignment="1">
      <alignment/>
    </xf>
    <xf numFmtId="3" fontId="0" fillId="0" borderId="0" xfId="0" applyNumberFormat="1" applyFont="1" applyAlignment="1">
      <alignment/>
    </xf>
    <xf numFmtId="3" fontId="1" fillId="0" borderId="0" xfId="57" applyNumberFormat="1" applyFont="1" applyFill="1" applyBorder="1" applyAlignment="1">
      <alignment vertical="center"/>
      <protection/>
    </xf>
    <xf numFmtId="3" fontId="0" fillId="38" borderId="13" xfId="57" applyNumberFormat="1" applyFill="1" applyBorder="1">
      <alignment/>
      <protection/>
    </xf>
    <xf numFmtId="3" fontId="0" fillId="35" borderId="13" xfId="57" applyNumberFormat="1" applyFill="1" applyBorder="1">
      <alignment/>
      <protection/>
    </xf>
    <xf numFmtId="3" fontId="0" fillId="0" borderId="13" xfId="57" applyNumberFormat="1" applyFont="1" applyFill="1" applyBorder="1">
      <alignment/>
      <protection/>
    </xf>
    <xf numFmtId="3" fontId="0" fillId="0" borderId="15" xfId="57" applyNumberFormat="1" applyFill="1" applyBorder="1" quotePrefix="1">
      <alignment/>
      <protection/>
    </xf>
    <xf numFmtId="3" fontId="0" fillId="0" borderId="14" xfId="57" applyNumberFormat="1" applyFill="1" applyBorder="1">
      <alignment/>
      <protection/>
    </xf>
    <xf numFmtId="0" fontId="0" fillId="33" borderId="16" xfId="0" applyFill="1" applyBorder="1" applyAlignment="1" quotePrefix="1">
      <alignment/>
    </xf>
    <xf numFmtId="3" fontId="0" fillId="0" borderId="0" xfId="0" applyNumberFormat="1" applyFont="1" applyFill="1" applyAlignment="1">
      <alignment horizontal="right"/>
    </xf>
    <xf numFmtId="3" fontId="0" fillId="35" borderId="0" xfId="0" applyNumberFormat="1" applyFont="1" applyFill="1" applyBorder="1" applyAlignment="1">
      <alignment horizontal="right"/>
    </xf>
    <xf numFmtId="3" fontId="0" fillId="35" borderId="0" xfId="57" applyNumberFormat="1" applyFill="1">
      <alignment/>
      <protection/>
    </xf>
    <xf numFmtId="3" fontId="0" fillId="0" borderId="10" xfId="57" applyNumberFormat="1" applyBorder="1">
      <alignment/>
      <protection/>
    </xf>
    <xf numFmtId="3" fontId="11" fillId="0" borderId="0" xfId="0" applyNumberFormat="1" applyFont="1" applyAlignment="1">
      <alignment/>
    </xf>
    <xf numFmtId="3" fontId="12" fillId="0" borderId="0" xfId="0" applyNumberFormat="1" applyFont="1" applyAlignment="1">
      <alignment/>
    </xf>
    <xf numFmtId="3" fontId="2" fillId="0" borderId="0" xfId="0" applyNumberFormat="1" applyFont="1" applyFill="1" applyBorder="1" applyAlignment="1">
      <alignment/>
    </xf>
    <xf numFmtId="3" fontId="12" fillId="0" borderId="0" xfId="0" applyNumberFormat="1" applyFont="1" applyFill="1" applyBorder="1" applyAlignment="1">
      <alignment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e 2" xfId="58"/>
    <cellStyle name="Normale_4_uesto_pere" xfId="59"/>
    <cellStyle name="Note" xfId="60"/>
    <cellStyle name="Output" xfId="61"/>
    <cellStyle name="Percent" xfId="62"/>
    <cellStyle name="Standard_LBNOV94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ocks%20NH%20Novemb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tro"/>
      <sheetName val="US"/>
      <sheetName val="EU - country"/>
      <sheetName val="EU - variety"/>
      <sheetName val="EU variety"/>
      <sheetName val="Austria"/>
      <sheetName val="Belgium"/>
      <sheetName val="Czech Republic"/>
      <sheetName val="Denmark"/>
      <sheetName val="Finland"/>
      <sheetName val="France"/>
      <sheetName val="Germany"/>
      <sheetName val="Italy"/>
      <sheetName val="Poland"/>
      <sheetName val="Portugal"/>
      <sheetName val="Slovakia"/>
      <sheetName val="Spain"/>
      <sheetName val="Switzerland"/>
      <sheetName val="Netherlands"/>
      <sheetName val="UK"/>
    </sheetNames>
    <sheetDataSet>
      <sheetData sheetId="1">
        <row r="31">
          <cell r="D31">
            <v>150952.94</v>
          </cell>
        </row>
        <row r="32">
          <cell r="D32">
            <v>42567.9</v>
          </cell>
        </row>
        <row r="33">
          <cell r="D33">
            <v>18103.16</v>
          </cell>
        </row>
        <row r="34">
          <cell r="D34">
            <v>1498.34</v>
          </cell>
        </row>
        <row r="35">
          <cell r="D35">
            <v>574.92</v>
          </cell>
        </row>
        <row r="36">
          <cell r="D36">
            <v>225.28</v>
          </cell>
        </row>
        <row r="37">
          <cell r="D37">
            <v>654.56</v>
          </cell>
        </row>
        <row r="39">
          <cell r="D39">
            <v>473.9</v>
          </cell>
        </row>
        <row r="40">
          <cell r="D40">
            <v>60781.72</v>
          </cell>
        </row>
        <row r="41">
          <cell r="D41">
            <v>275832.72</v>
          </cell>
        </row>
      </sheetData>
      <sheetData sheetId="2">
        <row r="2">
          <cell r="C2">
            <v>130668.84194053209</v>
          </cell>
          <cell r="D2">
            <v>102584.55399061032</v>
          </cell>
        </row>
        <row r="3">
          <cell r="C3">
            <v>143131.78199286488</v>
          </cell>
          <cell r="D3">
            <v>192808.72757850096</v>
          </cell>
        </row>
        <row r="4">
          <cell r="C4">
            <v>63515</v>
          </cell>
          <cell r="D4">
            <v>52234</v>
          </cell>
        </row>
        <row r="5">
          <cell r="C5">
            <v>13617</v>
          </cell>
          <cell r="D5">
            <v>13167</v>
          </cell>
        </row>
        <row r="6">
          <cell r="C6">
            <v>743072</v>
          </cell>
          <cell r="D6">
            <v>730053</v>
          </cell>
        </row>
        <row r="7">
          <cell r="C7">
            <v>413796</v>
          </cell>
          <cell r="D7">
            <v>385015</v>
          </cell>
        </row>
        <row r="8">
          <cell r="C8">
            <v>1448863.787867601</v>
          </cell>
          <cell r="D8">
            <v>1517976.8127697157</v>
          </cell>
        </row>
        <row r="10">
          <cell r="C10">
            <v>0</v>
          </cell>
          <cell r="D10">
            <v>0</v>
          </cell>
        </row>
        <row r="11">
          <cell r="C11">
            <v>0</v>
          </cell>
          <cell r="D11">
            <v>13286.21</v>
          </cell>
        </row>
        <row r="12">
          <cell r="C12">
            <v>197616.42752866753</v>
          </cell>
          <cell r="D12">
            <v>267206.016237753</v>
          </cell>
        </row>
        <row r="13">
          <cell r="C13">
            <v>64427</v>
          </cell>
          <cell r="D13">
            <v>62540</v>
          </cell>
        </row>
        <row r="14">
          <cell r="C14">
            <v>183532</v>
          </cell>
          <cell r="D14">
            <v>183659</v>
          </cell>
        </row>
        <row r="20">
          <cell r="C20">
            <v>264519.9730476208</v>
          </cell>
          <cell r="D20">
            <v>289922.0016690938</v>
          </cell>
        </row>
        <row r="21">
          <cell r="C21">
            <v>2976</v>
          </cell>
          <cell r="D21">
            <v>3383</v>
          </cell>
        </row>
        <row r="22">
          <cell r="C22">
            <v>1300</v>
          </cell>
          <cell r="D22">
            <v>1062</v>
          </cell>
        </row>
        <row r="23">
          <cell r="C23">
            <v>19005</v>
          </cell>
          <cell r="D23">
            <v>16019</v>
          </cell>
        </row>
        <row r="24">
          <cell r="C24">
            <v>5596</v>
          </cell>
          <cell r="D24">
            <v>7453</v>
          </cell>
        </row>
        <row r="25">
          <cell r="C25">
            <v>180971.2102854841</v>
          </cell>
          <cell r="D25">
            <v>70209.70229303179</v>
          </cell>
        </row>
        <row r="27">
          <cell r="C27">
            <v>91339</v>
          </cell>
          <cell r="D27">
            <v>167628</v>
          </cell>
        </row>
        <row r="28">
          <cell r="C28">
            <v>0</v>
          </cell>
          <cell r="D28">
            <v>66.66</v>
          </cell>
        </row>
        <row r="29">
          <cell r="C29">
            <v>57340.73674625334</v>
          </cell>
          <cell r="D29">
            <v>76512.83768307118</v>
          </cell>
        </row>
        <row r="30">
          <cell r="C30">
            <v>10520</v>
          </cell>
          <cell r="D30">
            <v>8828</v>
          </cell>
        </row>
        <row r="31">
          <cell r="C31">
            <v>264672</v>
          </cell>
          <cell r="D31">
            <v>246509</v>
          </cell>
        </row>
        <row r="32">
          <cell r="C32">
            <v>0</v>
          </cell>
          <cell r="D32">
            <v>0</v>
          </cell>
        </row>
      </sheetData>
      <sheetData sheetId="4">
        <row r="2">
          <cell r="C2">
            <v>35000</v>
          </cell>
          <cell r="D2">
            <v>35000</v>
          </cell>
        </row>
        <row r="3">
          <cell r="C3">
            <v>31225.269200257808</v>
          </cell>
          <cell r="D3">
            <v>33824.69733544452</v>
          </cell>
        </row>
        <row r="4">
          <cell r="C4">
            <v>127429.26520813772</v>
          </cell>
          <cell r="D4">
            <v>128211.35276995307</v>
          </cell>
        </row>
        <row r="5">
          <cell r="C5">
            <v>0</v>
          </cell>
          <cell r="D5">
            <v>0</v>
          </cell>
        </row>
        <row r="6">
          <cell r="C6">
            <v>0</v>
          </cell>
          <cell r="D6">
            <v>0</v>
          </cell>
        </row>
        <row r="7">
          <cell r="C7">
            <v>0</v>
          </cell>
          <cell r="D7">
            <v>0</v>
          </cell>
        </row>
        <row r="8">
          <cell r="C8">
            <v>831</v>
          </cell>
          <cell r="D8">
            <v>582</v>
          </cell>
        </row>
        <row r="9">
          <cell r="C9">
            <v>238425</v>
          </cell>
          <cell r="D9">
            <v>111401.28741479927</v>
          </cell>
        </row>
        <row r="10">
          <cell r="C10">
            <v>207056.53844886197</v>
          </cell>
          <cell r="D10">
            <v>167184.80777603725</v>
          </cell>
        </row>
        <row r="11">
          <cell r="C11">
            <v>171310.44540988584</v>
          </cell>
          <cell r="D11">
            <v>147352.5849309049</v>
          </cell>
        </row>
        <row r="12">
          <cell r="C12">
            <v>426555.48516320635</v>
          </cell>
          <cell r="D12">
            <v>481825.2199136591</v>
          </cell>
        </row>
        <row r="13">
          <cell r="C13">
            <v>224</v>
          </cell>
          <cell r="D13">
            <v>270</v>
          </cell>
        </row>
        <row r="14">
          <cell r="C14">
            <v>818910.2197857635</v>
          </cell>
          <cell r="D14">
            <v>1073144.841276595</v>
          </cell>
        </row>
        <row r="15">
          <cell r="C15">
            <v>209399.7076012452</v>
          </cell>
          <cell r="D15">
            <v>194088.17901300333</v>
          </cell>
        </row>
        <row r="16">
          <cell r="C16">
            <v>3733</v>
          </cell>
          <cell r="D16">
            <v>3402</v>
          </cell>
        </row>
        <row r="17">
          <cell r="C17">
            <v>15151.937402190924</v>
          </cell>
          <cell r="D17">
            <v>16568.250704225353</v>
          </cell>
        </row>
        <row r="18">
          <cell r="C18">
            <v>173612.6380458665</v>
          </cell>
          <cell r="D18">
            <v>218306.48324753114</v>
          </cell>
        </row>
        <row r="19">
          <cell r="C19">
            <v>48170.6762325161</v>
          </cell>
          <cell r="D19">
            <v>64454.566211466445</v>
          </cell>
        </row>
        <row r="20">
          <cell r="C20">
            <v>0</v>
          </cell>
          <cell r="D20">
            <v>0</v>
          </cell>
        </row>
        <row r="21">
          <cell r="C21">
            <v>0</v>
          </cell>
          <cell r="D21">
            <v>0</v>
          </cell>
        </row>
        <row r="22">
          <cell r="C22">
            <v>18388.272499875224</v>
          </cell>
          <cell r="D22">
            <v>17780.570234266677</v>
          </cell>
        </row>
        <row r="23">
          <cell r="C23">
            <v>49979.6020344288</v>
          </cell>
          <cell r="D23">
            <v>63686.865594679184</v>
          </cell>
        </row>
        <row r="24">
          <cell r="C24">
            <v>202949.61566732486</v>
          </cell>
          <cell r="D24">
            <v>199269.89242783794</v>
          </cell>
        </row>
        <row r="25">
          <cell r="C25">
            <v>68016.91392801252</v>
          </cell>
          <cell r="D25">
            <v>75694.30046948357</v>
          </cell>
        </row>
        <row r="26">
          <cell r="C26">
            <v>48215.325</v>
          </cell>
          <cell r="D26">
            <v>43247.593</v>
          </cell>
        </row>
        <row r="27">
          <cell r="C27">
            <v>3554</v>
          </cell>
          <cell r="D27">
            <v>5396</v>
          </cell>
        </row>
        <row r="28">
          <cell r="C28">
            <v>0</v>
          </cell>
          <cell r="D28">
            <v>0</v>
          </cell>
        </row>
        <row r="29">
          <cell r="C29">
            <v>25</v>
          </cell>
          <cell r="D29">
            <v>45</v>
          </cell>
        </row>
        <row r="30">
          <cell r="C30">
            <v>153041</v>
          </cell>
          <cell r="D30">
            <v>136971</v>
          </cell>
        </row>
        <row r="31">
          <cell r="C31">
            <v>351034.92770209204</v>
          </cell>
          <cell r="D31">
            <v>302822.8282566933</v>
          </cell>
        </row>
        <row r="36">
          <cell r="C36">
            <v>89136.33576157701</v>
          </cell>
          <cell r="D36">
            <v>23362.392691213932</v>
          </cell>
        </row>
        <row r="37">
          <cell r="C37">
            <v>2753.460352696825</v>
          </cell>
          <cell r="D37">
            <v>3496.6001074221576</v>
          </cell>
        </row>
        <row r="38">
          <cell r="C38">
            <v>4373.995133683721</v>
          </cell>
          <cell r="D38">
            <v>3592.9317054284015</v>
          </cell>
        </row>
        <row r="39">
          <cell r="C39">
            <v>533740.0982958258</v>
          </cell>
          <cell r="D39">
            <v>563229.8384501645</v>
          </cell>
        </row>
        <row r="40">
          <cell r="C40">
            <v>24781.418968996324</v>
          </cell>
          <cell r="D40">
            <v>24317.81370206206</v>
          </cell>
        </row>
        <row r="41">
          <cell r="C41">
            <v>22462.63088853791</v>
          </cell>
          <cell r="D41">
            <v>10916.485229523187</v>
          </cell>
        </row>
        <row r="43">
          <cell r="C43">
            <v>129652.9806780407</v>
          </cell>
          <cell r="D43">
            <v>91049.13975938244</v>
          </cell>
        </row>
      </sheetData>
      <sheetData sheetId="5">
        <row r="2">
          <cell r="C2">
            <v>987.4178403755869</v>
          </cell>
          <cell r="D2">
            <v>684.4287949921753</v>
          </cell>
        </row>
        <row r="3">
          <cell r="C3">
            <v>432.3943661971831</v>
          </cell>
          <cell r="D3">
            <v>239.43661971830986</v>
          </cell>
        </row>
        <row r="4">
          <cell r="C4">
            <v>10144.053208137715</v>
          </cell>
          <cell r="D4">
            <v>6406.572769953052</v>
          </cell>
        </row>
        <row r="5">
          <cell r="C5">
            <v>6083.740219092332</v>
          </cell>
          <cell r="D5">
            <v>3972.050078247261</v>
          </cell>
        </row>
        <row r="6">
          <cell r="C6">
            <v>8567.605633802817</v>
          </cell>
          <cell r="D6">
            <v>6345.070422535211</v>
          </cell>
        </row>
        <row r="7">
          <cell r="C7">
            <v>2606.400625978091</v>
          </cell>
          <cell r="D7">
            <v>1720.735524256651</v>
          </cell>
        </row>
        <row r="8">
          <cell r="C8">
            <v>34563.48982785603</v>
          </cell>
          <cell r="D8">
            <v>27235.539906103288</v>
          </cell>
        </row>
        <row r="10">
          <cell r="C10">
            <v>29933.333333333332</v>
          </cell>
          <cell r="D10">
            <v>31006.087636932705</v>
          </cell>
        </row>
        <row r="11">
          <cell r="C11">
            <v>1280.7511737089203</v>
          </cell>
          <cell r="D11">
            <v>1006.056338028169</v>
          </cell>
        </row>
        <row r="12">
          <cell r="C12">
            <v>5309.937402190923</v>
          </cell>
          <cell r="D12">
            <v>3818.450704225352</v>
          </cell>
        </row>
        <row r="13">
          <cell r="C13">
            <v>4965.336463223787</v>
          </cell>
          <cell r="D13">
            <v>4253.568075117371</v>
          </cell>
        </row>
        <row r="14">
          <cell r="C14">
            <v>0</v>
          </cell>
          <cell r="D14">
            <v>0</v>
          </cell>
        </row>
        <row r="15">
          <cell r="C15">
            <v>2009.264475743349</v>
          </cell>
          <cell r="D15">
            <v>2020.2190923317683</v>
          </cell>
        </row>
        <row r="16">
          <cell r="C16">
            <v>6903.302034428795</v>
          </cell>
          <cell r="D16">
            <v>4941.580594679186</v>
          </cell>
        </row>
        <row r="17">
          <cell r="C17">
            <v>4454.91392801252</v>
          </cell>
          <cell r="D17">
            <v>2222.300469483568</v>
          </cell>
        </row>
        <row r="19">
          <cell r="C19">
            <v>4059.0140845070423</v>
          </cell>
          <cell r="D19">
            <v>2274.8356807511736</v>
          </cell>
        </row>
        <row r="20">
          <cell r="C20">
            <v>8367.887323943662</v>
          </cell>
          <cell r="D20">
            <v>4437.621283255086</v>
          </cell>
        </row>
        <row r="21">
          <cell r="C21">
            <v>130668.84194053209</v>
          </cell>
          <cell r="D21">
            <v>102584.55399061032</v>
          </cell>
        </row>
      </sheetData>
      <sheetData sheetId="6">
        <row r="2">
          <cell r="C2">
            <v>4618.874834060624</v>
          </cell>
          <cell r="D2">
            <v>6061.26071572621</v>
          </cell>
        </row>
        <row r="4">
          <cell r="C4">
            <v>1180.798229769629</v>
          </cell>
          <cell r="D4">
            <v>2108.757697790014</v>
          </cell>
        </row>
        <row r="6">
          <cell r="C6">
            <v>12278.231113875834</v>
          </cell>
          <cell r="D6">
            <v>18108.43778110451</v>
          </cell>
        </row>
        <row r="7">
          <cell r="C7">
            <v>68868.2015826427</v>
          </cell>
          <cell r="D7">
            <v>105114.70517241379</v>
          </cell>
        </row>
        <row r="8">
          <cell r="C8">
            <v>24484.676232516103</v>
          </cell>
          <cell r="D8">
            <v>32057.56621146645</v>
          </cell>
        </row>
        <row r="9">
          <cell r="C9">
            <v>31701</v>
          </cell>
          <cell r="D9">
            <v>29358</v>
          </cell>
        </row>
        <row r="10">
          <cell r="C10">
            <v>143131.78199286488</v>
          </cell>
          <cell r="D10">
            <v>192808.72757850096</v>
          </cell>
        </row>
        <row r="15">
          <cell r="C15">
            <v>246354</v>
          </cell>
          <cell r="D15">
            <v>273726.70118343196</v>
          </cell>
        </row>
        <row r="16">
          <cell r="C16">
            <v>5919.461155600009</v>
          </cell>
          <cell r="D16">
            <v>9212.421135350975</v>
          </cell>
        </row>
        <row r="17">
          <cell r="C17">
            <v>249</v>
          </cell>
          <cell r="D17">
            <v>227.3168462356782</v>
          </cell>
        </row>
        <row r="18">
          <cell r="C18">
            <v>3804.511892020794</v>
          </cell>
          <cell r="D18">
            <v>3063.56250407518</v>
          </cell>
        </row>
        <row r="19">
          <cell r="C19">
            <v>8193</v>
          </cell>
          <cell r="D19">
            <v>3692</v>
          </cell>
        </row>
        <row r="20">
          <cell r="C20">
            <v>264519.9730476208</v>
          </cell>
          <cell r="D20">
            <v>289922.0016690938</v>
          </cell>
        </row>
      </sheetData>
      <sheetData sheetId="7">
        <row r="2">
          <cell r="C2">
            <v>6189</v>
          </cell>
          <cell r="D2">
            <v>4990</v>
          </cell>
        </row>
        <row r="3">
          <cell r="C3">
            <v>9834</v>
          </cell>
          <cell r="D3">
            <v>7573</v>
          </cell>
        </row>
        <row r="4">
          <cell r="C4">
            <v>224</v>
          </cell>
          <cell r="D4">
            <v>259</v>
          </cell>
        </row>
        <row r="5">
          <cell r="C5">
            <v>15587</v>
          </cell>
          <cell r="D5">
            <v>12212</v>
          </cell>
        </row>
        <row r="6">
          <cell r="C6">
            <v>4911</v>
          </cell>
          <cell r="D6">
            <v>6026</v>
          </cell>
        </row>
        <row r="7">
          <cell r="C7">
            <v>13451</v>
          </cell>
          <cell r="D7">
            <v>11969</v>
          </cell>
        </row>
        <row r="8">
          <cell r="C8">
            <v>3968</v>
          </cell>
          <cell r="D8">
            <v>2189</v>
          </cell>
        </row>
        <row r="9">
          <cell r="C9">
            <v>1076</v>
          </cell>
          <cell r="D9">
            <v>1792</v>
          </cell>
        </row>
        <row r="10">
          <cell r="C10">
            <v>25</v>
          </cell>
          <cell r="D10">
            <v>45</v>
          </cell>
        </row>
        <row r="11">
          <cell r="C11">
            <v>8250</v>
          </cell>
          <cell r="D11">
            <v>5179</v>
          </cell>
        </row>
        <row r="12">
          <cell r="C12">
            <v>63515</v>
          </cell>
          <cell r="D12">
            <v>52234</v>
          </cell>
        </row>
        <row r="16">
          <cell r="C16">
            <v>1806</v>
          </cell>
          <cell r="D16">
            <v>1179</v>
          </cell>
        </row>
        <row r="17">
          <cell r="C17">
            <v>320</v>
          </cell>
          <cell r="D17">
            <v>188</v>
          </cell>
        </row>
        <row r="18">
          <cell r="C18">
            <v>184</v>
          </cell>
          <cell r="D18">
            <v>504</v>
          </cell>
        </row>
        <row r="19">
          <cell r="C19">
            <v>437</v>
          </cell>
          <cell r="D19">
            <v>1153</v>
          </cell>
        </row>
        <row r="20">
          <cell r="C20">
            <v>229</v>
          </cell>
          <cell r="D20">
            <v>359</v>
          </cell>
        </row>
        <row r="21">
          <cell r="C21">
            <v>2976</v>
          </cell>
          <cell r="D21">
            <v>3383</v>
          </cell>
        </row>
      </sheetData>
      <sheetData sheetId="8">
        <row r="2">
          <cell r="C2">
            <v>76</v>
          </cell>
          <cell r="D2">
            <v>106</v>
          </cell>
        </row>
        <row r="3">
          <cell r="C3">
            <v>135</v>
          </cell>
          <cell r="D3">
            <v>113</v>
          </cell>
        </row>
        <row r="4">
          <cell r="C4">
            <v>375</v>
          </cell>
          <cell r="D4">
            <v>376</v>
          </cell>
        </row>
        <row r="5">
          <cell r="C5">
            <v>4694</v>
          </cell>
          <cell r="D5">
            <v>4798</v>
          </cell>
        </row>
        <row r="6">
          <cell r="C6">
            <v>7</v>
          </cell>
          <cell r="D6">
            <v>18</v>
          </cell>
        </row>
        <row r="7">
          <cell r="C7">
            <v>175</v>
          </cell>
          <cell r="D7">
            <v>288</v>
          </cell>
        </row>
        <row r="8">
          <cell r="D8">
            <v>11</v>
          </cell>
        </row>
        <row r="10">
          <cell r="C10">
            <v>358</v>
          </cell>
          <cell r="D10">
            <v>203</v>
          </cell>
        </row>
        <row r="11">
          <cell r="D11">
            <v>14</v>
          </cell>
        </row>
        <row r="12">
          <cell r="D12">
            <v>2136</v>
          </cell>
        </row>
        <row r="13">
          <cell r="C13">
            <v>10</v>
          </cell>
          <cell r="D13">
            <v>21</v>
          </cell>
        </row>
        <row r="14">
          <cell r="C14">
            <v>744</v>
          </cell>
          <cell r="D14">
            <v>1175</v>
          </cell>
        </row>
        <row r="15">
          <cell r="C15">
            <v>90</v>
          </cell>
          <cell r="D15">
            <v>106</v>
          </cell>
        </row>
        <row r="18">
          <cell r="C18">
            <v>6530</v>
          </cell>
          <cell r="D18">
            <v>2204</v>
          </cell>
        </row>
        <row r="19">
          <cell r="C19">
            <v>423</v>
          </cell>
          <cell r="D19">
            <v>1598</v>
          </cell>
        </row>
        <row r="20">
          <cell r="C20">
            <v>13617</v>
          </cell>
          <cell r="D20">
            <v>13167</v>
          </cell>
        </row>
        <row r="24">
          <cell r="C24">
            <v>438</v>
          </cell>
          <cell r="D24">
            <v>231</v>
          </cell>
        </row>
        <row r="26">
          <cell r="C26">
            <v>862</v>
          </cell>
          <cell r="D26">
            <v>831</v>
          </cell>
        </row>
        <row r="27">
          <cell r="C27">
            <v>1300</v>
          </cell>
          <cell r="D27">
            <v>1062</v>
          </cell>
        </row>
      </sheetData>
      <sheetData sheetId="10">
        <row r="2">
          <cell r="C2">
            <v>9110</v>
          </cell>
          <cell r="D2">
            <v>7337</v>
          </cell>
        </row>
        <row r="3">
          <cell r="C3">
            <v>28966</v>
          </cell>
          <cell r="D3">
            <v>32886</v>
          </cell>
        </row>
        <row r="4">
          <cell r="C4">
            <v>5012</v>
          </cell>
          <cell r="D4">
            <v>4314</v>
          </cell>
        </row>
        <row r="5">
          <cell r="C5">
            <v>20761</v>
          </cell>
          <cell r="D5">
            <v>25637</v>
          </cell>
        </row>
        <row r="7">
          <cell r="C7">
            <v>6083</v>
          </cell>
          <cell r="D7">
            <v>4898</v>
          </cell>
        </row>
        <row r="8">
          <cell r="C8">
            <v>153425</v>
          </cell>
          <cell r="D8">
            <v>64802</v>
          </cell>
        </row>
        <row r="9">
          <cell r="C9">
            <v>5225</v>
          </cell>
          <cell r="D9">
            <v>4217</v>
          </cell>
        </row>
        <row r="10">
          <cell r="C10">
            <v>26313</v>
          </cell>
          <cell r="D10">
            <v>35176</v>
          </cell>
        </row>
        <row r="11">
          <cell r="C11">
            <v>120469</v>
          </cell>
          <cell r="D11">
            <v>148765</v>
          </cell>
        </row>
        <row r="12">
          <cell r="C12">
            <v>152301</v>
          </cell>
          <cell r="D12">
            <v>174439</v>
          </cell>
        </row>
        <row r="13">
          <cell r="C13">
            <v>3152</v>
          </cell>
          <cell r="D13">
            <v>4011</v>
          </cell>
        </row>
        <row r="14">
          <cell r="C14">
            <v>76103</v>
          </cell>
          <cell r="D14">
            <v>74064</v>
          </cell>
        </row>
        <row r="15">
          <cell r="C15">
            <v>11130</v>
          </cell>
          <cell r="D15">
            <v>12476</v>
          </cell>
        </row>
        <row r="16">
          <cell r="C16">
            <v>1942</v>
          </cell>
          <cell r="D16">
            <v>1297</v>
          </cell>
        </row>
        <row r="17">
          <cell r="C17">
            <v>28012</v>
          </cell>
          <cell r="D17">
            <v>31622</v>
          </cell>
        </row>
        <row r="18">
          <cell r="C18">
            <v>16285</v>
          </cell>
          <cell r="D18">
            <v>19442</v>
          </cell>
        </row>
        <row r="19">
          <cell r="C19">
            <v>18511</v>
          </cell>
          <cell r="D19">
            <v>19476</v>
          </cell>
        </row>
        <row r="20">
          <cell r="C20">
            <v>2139</v>
          </cell>
          <cell r="D20">
            <v>1643</v>
          </cell>
        </row>
        <row r="21">
          <cell r="C21">
            <v>20963</v>
          </cell>
          <cell r="D21">
            <v>23406</v>
          </cell>
        </row>
        <row r="22">
          <cell r="C22">
            <v>1654</v>
          </cell>
          <cell r="D22">
            <v>1587</v>
          </cell>
        </row>
        <row r="23">
          <cell r="C23">
            <v>12465</v>
          </cell>
          <cell r="D23">
            <v>11528</v>
          </cell>
        </row>
        <row r="24">
          <cell r="C24">
            <v>2947</v>
          </cell>
          <cell r="D24">
            <v>3093</v>
          </cell>
        </row>
        <row r="25">
          <cell r="C25">
            <v>20104</v>
          </cell>
          <cell r="D25">
            <v>23937</v>
          </cell>
        </row>
        <row r="26">
          <cell r="C26">
            <v>743072</v>
          </cell>
          <cell r="D26">
            <v>730053</v>
          </cell>
        </row>
        <row r="30">
          <cell r="C30">
            <v>3860</v>
          </cell>
          <cell r="D30">
            <v>2714</v>
          </cell>
        </row>
        <row r="32">
          <cell r="C32">
            <v>7516</v>
          </cell>
          <cell r="D32">
            <v>5430</v>
          </cell>
        </row>
        <row r="33">
          <cell r="C33">
            <v>2775</v>
          </cell>
          <cell r="D33">
            <v>2160</v>
          </cell>
        </row>
        <row r="34">
          <cell r="D34">
            <v>2167</v>
          </cell>
        </row>
        <row r="35">
          <cell r="C35">
            <v>1015</v>
          </cell>
          <cell r="D35">
            <v>128</v>
          </cell>
        </row>
        <row r="36">
          <cell r="C36">
            <v>1848</v>
          </cell>
          <cell r="D36">
            <v>2150</v>
          </cell>
        </row>
        <row r="37">
          <cell r="C37">
            <v>1991</v>
          </cell>
          <cell r="D37">
            <v>1270</v>
          </cell>
        </row>
        <row r="38">
          <cell r="C38">
            <v>19005</v>
          </cell>
          <cell r="D38">
            <v>16019</v>
          </cell>
        </row>
      </sheetData>
      <sheetData sheetId="11">
        <row r="2">
          <cell r="C2">
            <v>11543</v>
          </cell>
          <cell r="D2">
            <v>13919</v>
          </cell>
        </row>
        <row r="3">
          <cell r="C3">
            <v>51931</v>
          </cell>
          <cell r="D3">
            <v>46878</v>
          </cell>
        </row>
        <row r="5">
          <cell r="C5">
            <v>103893</v>
          </cell>
          <cell r="D5">
            <v>75114</v>
          </cell>
        </row>
        <row r="6">
          <cell r="C6">
            <v>6467</v>
          </cell>
          <cell r="D6">
            <v>6276</v>
          </cell>
        </row>
        <row r="7">
          <cell r="C7">
            <v>37894</v>
          </cell>
          <cell r="D7">
            <v>35593</v>
          </cell>
        </row>
        <row r="9">
          <cell r="C9">
            <v>4057</v>
          </cell>
          <cell r="D9">
            <v>4580</v>
          </cell>
        </row>
        <row r="10">
          <cell r="C10">
            <v>3375</v>
          </cell>
          <cell r="D10">
            <v>3199</v>
          </cell>
        </row>
        <row r="11">
          <cell r="C11">
            <v>2561</v>
          </cell>
          <cell r="D11">
            <v>4497</v>
          </cell>
        </row>
        <row r="13">
          <cell r="C13">
            <v>20579</v>
          </cell>
          <cell r="D13">
            <v>17407</v>
          </cell>
        </row>
        <row r="14">
          <cell r="C14">
            <v>22942</v>
          </cell>
          <cell r="D14">
            <v>31222</v>
          </cell>
        </row>
        <row r="15">
          <cell r="C15">
            <v>8012</v>
          </cell>
          <cell r="D15">
            <v>17705</v>
          </cell>
        </row>
        <row r="16">
          <cell r="C16">
            <v>63562</v>
          </cell>
          <cell r="D16">
            <v>73472</v>
          </cell>
        </row>
        <row r="17">
          <cell r="C17">
            <v>2478</v>
          </cell>
          <cell r="D17">
            <v>3604</v>
          </cell>
        </row>
        <row r="18">
          <cell r="C18">
            <v>3048</v>
          </cell>
          <cell r="D18">
            <v>2147</v>
          </cell>
        </row>
        <row r="19">
          <cell r="C19">
            <v>54005</v>
          </cell>
          <cell r="D19">
            <v>34059</v>
          </cell>
        </row>
        <row r="20">
          <cell r="C20">
            <v>17449</v>
          </cell>
          <cell r="D20">
            <v>15343</v>
          </cell>
        </row>
        <row r="21">
          <cell r="C21">
            <v>413796</v>
          </cell>
          <cell r="D21">
            <v>385015</v>
          </cell>
        </row>
        <row r="25">
          <cell r="C25">
            <v>5596</v>
          </cell>
          <cell r="D25">
            <v>7453</v>
          </cell>
        </row>
        <row r="26">
          <cell r="C26">
            <v>5596</v>
          </cell>
          <cell r="D26">
            <v>7453</v>
          </cell>
        </row>
      </sheetData>
      <sheetData sheetId="12">
        <row r="2">
          <cell r="C2">
            <v>35000</v>
          </cell>
          <cell r="D2">
            <v>35000</v>
          </cell>
        </row>
        <row r="3">
          <cell r="C3">
            <v>29213.212</v>
          </cell>
          <cell r="D3">
            <v>36817.54</v>
          </cell>
        </row>
        <row r="4">
          <cell r="C4">
            <v>85000</v>
          </cell>
          <cell r="D4">
            <v>46549.97741479928</v>
          </cell>
        </row>
        <row r="6">
          <cell r="C6">
            <v>118715.89204602648</v>
          </cell>
          <cell r="D6">
            <v>85126.90495544446</v>
          </cell>
        </row>
        <row r="7">
          <cell r="C7">
            <v>178580.5081837503</v>
          </cell>
          <cell r="D7">
            <v>203754.99825664583</v>
          </cell>
        </row>
        <row r="9">
          <cell r="C9">
            <v>474296.7217388472</v>
          </cell>
          <cell r="D9">
            <v>651191.631218601</v>
          </cell>
        </row>
        <row r="10">
          <cell r="C10">
            <v>112969.77858509567</v>
          </cell>
          <cell r="D10">
            <v>89584.3018752829</v>
          </cell>
        </row>
        <row r="12">
          <cell r="C12">
            <v>2005.1</v>
          </cell>
          <cell r="D12">
            <v>3958</v>
          </cell>
        </row>
        <row r="14">
          <cell r="C14">
            <v>18388.272499875224</v>
          </cell>
          <cell r="D14">
            <v>17780.570234266677</v>
          </cell>
        </row>
        <row r="15">
          <cell r="C15">
            <v>34632.3</v>
          </cell>
          <cell r="D15">
            <v>38169.854999999996</v>
          </cell>
        </row>
        <row r="16">
          <cell r="C16">
            <v>168338.90225406797</v>
          </cell>
          <cell r="D16">
            <v>157630.9492402129</v>
          </cell>
        </row>
        <row r="17">
          <cell r="C17">
            <v>24994.324999999997</v>
          </cell>
          <cell r="D17">
            <v>18095.593</v>
          </cell>
        </row>
        <row r="19">
          <cell r="C19">
            <v>166728.775559938</v>
          </cell>
          <cell r="D19">
            <v>134316.4915744627</v>
          </cell>
        </row>
        <row r="20">
          <cell r="C20">
            <v>1448863.787867601</v>
          </cell>
          <cell r="D20">
            <v>1517976.8127697157</v>
          </cell>
        </row>
        <row r="24">
          <cell r="C24">
            <v>89136.33576157701</v>
          </cell>
          <cell r="D24">
            <v>23362.392691213932</v>
          </cell>
        </row>
        <row r="25">
          <cell r="C25">
            <v>12137.761908503295</v>
          </cell>
          <cell r="D25">
            <v>8243.467957191275</v>
          </cell>
        </row>
        <row r="26">
          <cell r="C26">
            <v>4776.957813396314</v>
          </cell>
          <cell r="D26">
            <v>3160.3925667110852</v>
          </cell>
        </row>
        <row r="27">
          <cell r="C27">
            <v>16744.63088853791</v>
          </cell>
          <cell r="D27">
            <v>5421.485229523188</v>
          </cell>
        </row>
        <row r="28">
          <cell r="C28">
            <v>58175.52391346956</v>
          </cell>
          <cell r="D28">
            <v>30021.963848392308</v>
          </cell>
        </row>
        <row r="29">
          <cell r="C29">
            <v>180971.2102854841</v>
          </cell>
          <cell r="D29">
            <v>70209.70229303179</v>
          </cell>
        </row>
      </sheetData>
      <sheetData sheetId="16">
        <row r="2">
          <cell r="C2">
            <v>17201.152737881297</v>
          </cell>
          <cell r="D2">
            <v>18160.974451203794</v>
          </cell>
        </row>
        <row r="3">
          <cell r="C3">
            <v>23288.4871516001</v>
          </cell>
          <cell r="D3">
            <v>31051.691750909966</v>
          </cell>
        </row>
        <row r="4">
          <cell r="C4">
            <v>114652.9335997071</v>
          </cell>
          <cell r="D4">
            <v>159048.3346399567</v>
          </cell>
        </row>
        <row r="5">
          <cell r="C5">
            <v>18614.177842440615</v>
          </cell>
          <cell r="D5">
            <v>28787.82079969228</v>
          </cell>
        </row>
        <row r="6">
          <cell r="C6">
            <v>12131.713413256875</v>
          </cell>
          <cell r="D6">
            <v>19973.943187625046</v>
          </cell>
        </row>
        <row r="7">
          <cell r="C7">
            <v>11727.962783781555</v>
          </cell>
          <cell r="D7">
            <v>10183.251408365197</v>
          </cell>
        </row>
        <row r="8">
          <cell r="C8">
            <v>197616.42752866753</v>
          </cell>
          <cell r="D8">
            <v>267206.016237753</v>
          </cell>
        </row>
        <row r="12">
          <cell r="C12">
            <v>2753.460352696825</v>
          </cell>
          <cell r="D12">
            <v>3496.6001074221576</v>
          </cell>
        </row>
        <row r="13">
          <cell r="C13">
            <v>4373.995133683721</v>
          </cell>
          <cell r="D13">
            <v>3592.9317054284015</v>
          </cell>
        </row>
        <row r="14">
          <cell r="C14">
            <v>43158.336387322444</v>
          </cell>
          <cell r="D14">
            <v>64288.469309541346</v>
          </cell>
        </row>
        <row r="15">
          <cell r="C15">
            <v>1035.1920581852492</v>
          </cell>
          <cell r="D15">
            <v>428.0047848061445</v>
          </cell>
        </row>
        <row r="16">
          <cell r="C16">
            <v>6019.7528143651</v>
          </cell>
          <cell r="D16">
            <v>4706.8317758731355</v>
          </cell>
        </row>
        <row r="17">
          <cell r="C17">
            <v>57340.73674625334</v>
          </cell>
          <cell r="D17">
            <v>76512.83768307118</v>
          </cell>
        </row>
      </sheetData>
      <sheetData sheetId="17">
        <row r="2">
          <cell r="C2">
            <v>2336</v>
          </cell>
          <cell r="D2">
            <v>1119</v>
          </cell>
        </row>
        <row r="3">
          <cell r="C3">
            <v>9191</v>
          </cell>
          <cell r="D3">
            <v>6512</v>
          </cell>
        </row>
        <row r="4">
          <cell r="C4">
            <v>456</v>
          </cell>
          <cell r="D4">
            <v>206</v>
          </cell>
        </row>
        <row r="5">
          <cell r="C5">
            <v>82</v>
          </cell>
          <cell r="D5">
            <v>23</v>
          </cell>
        </row>
        <row r="6">
          <cell r="C6">
            <v>21751</v>
          </cell>
          <cell r="D6">
            <v>25012</v>
          </cell>
        </row>
        <row r="7">
          <cell r="C7">
            <v>68</v>
          </cell>
          <cell r="D7">
            <v>53</v>
          </cell>
        </row>
        <row r="8">
          <cell r="C8">
            <v>10419</v>
          </cell>
          <cell r="D8">
            <v>13220</v>
          </cell>
        </row>
        <row r="9">
          <cell r="C9">
            <v>432</v>
          </cell>
          <cell r="D9">
            <v>646</v>
          </cell>
        </row>
        <row r="10">
          <cell r="C10">
            <v>428</v>
          </cell>
          <cell r="D10">
            <v>389</v>
          </cell>
        </row>
        <row r="11">
          <cell r="C11">
            <v>2427</v>
          </cell>
          <cell r="D11">
            <v>1912</v>
          </cell>
        </row>
        <row r="12">
          <cell r="C12">
            <v>119</v>
          </cell>
          <cell r="D12">
            <v>103</v>
          </cell>
        </row>
        <row r="13">
          <cell r="C13">
            <v>172</v>
          </cell>
          <cell r="D13">
            <v>92</v>
          </cell>
        </row>
        <row r="14">
          <cell r="C14">
            <v>432</v>
          </cell>
          <cell r="D14">
            <v>427</v>
          </cell>
        </row>
        <row r="15">
          <cell r="C15">
            <v>63</v>
          </cell>
          <cell r="D15">
            <v>32</v>
          </cell>
        </row>
        <row r="16">
          <cell r="C16">
            <v>1129</v>
          </cell>
          <cell r="D16">
            <v>681</v>
          </cell>
        </row>
        <row r="17">
          <cell r="C17">
            <v>3616</v>
          </cell>
          <cell r="D17">
            <v>9089</v>
          </cell>
        </row>
        <row r="18">
          <cell r="C18">
            <v>11306</v>
          </cell>
          <cell r="D18">
            <v>3024</v>
          </cell>
        </row>
        <row r="19">
          <cell r="C19">
            <v>64427</v>
          </cell>
          <cell r="D19">
            <v>62540</v>
          </cell>
        </row>
        <row r="23">
          <cell r="C23">
            <v>5718</v>
          </cell>
          <cell r="D23">
            <v>5495</v>
          </cell>
        </row>
        <row r="24">
          <cell r="C24">
            <v>1862</v>
          </cell>
          <cell r="D24">
            <v>1378</v>
          </cell>
        </row>
        <row r="25">
          <cell r="C25">
            <v>1641</v>
          </cell>
          <cell r="D25">
            <v>1226</v>
          </cell>
        </row>
        <row r="26">
          <cell r="C26">
            <v>234</v>
          </cell>
          <cell r="D26">
            <v>11</v>
          </cell>
        </row>
        <row r="27">
          <cell r="C27">
            <v>1065</v>
          </cell>
          <cell r="D27">
            <v>718</v>
          </cell>
        </row>
        <row r="28">
          <cell r="C28">
            <v>10520</v>
          </cell>
          <cell r="D28">
            <v>8828</v>
          </cell>
        </row>
      </sheetData>
      <sheetData sheetId="18">
        <row r="2">
          <cell r="C2">
            <v>7207</v>
          </cell>
          <cell r="D2">
            <v>8066</v>
          </cell>
        </row>
        <row r="3">
          <cell r="C3">
            <v>85898</v>
          </cell>
          <cell r="D3">
            <v>76952</v>
          </cell>
        </row>
        <row r="4">
          <cell r="C4">
            <v>5385</v>
          </cell>
          <cell r="D4">
            <v>5355</v>
          </cell>
        </row>
        <row r="5">
          <cell r="C5">
            <v>45022</v>
          </cell>
          <cell r="D5">
            <v>53338</v>
          </cell>
        </row>
        <row r="6">
          <cell r="C6">
            <v>34539</v>
          </cell>
          <cell r="D6">
            <v>33080</v>
          </cell>
        </row>
        <row r="7">
          <cell r="C7">
            <v>5481</v>
          </cell>
          <cell r="D7">
            <v>6868</v>
          </cell>
        </row>
        <row r="8">
          <cell r="C8">
            <v>183532</v>
          </cell>
          <cell r="D8">
            <v>183659</v>
          </cell>
        </row>
        <row r="12">
          <cell r="C12">
            <v>220468</v>
          </cell>
          <cell r="D12">
            <v>208752</v>
          </cell>
        </row>
        <row r="13">
          <cell r="C13">
            <v>11310</v>
          </cell>
          <cell r="D13">
            <v>9785</v>
          </cell>
        </row>
        <row r="14">
          <cell r="C14">
            <v>32894</v>
          </cell>
          <cell r="D14">
            <v>27972</v>
          </cell>
        </row>
        <row r="15">
          <cell r="C15">
            <v>264672</v>
          </cell>
          <cell r="D15">
            <v>246509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9:G39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2" width="8.8515625" style="0" customWidth="1"/>
    <col min="3" max="3" width="18.421875" style="0" customWidth="1"/>
  </cols>
  <sheetData>
    <row r="19" spans="2:7" ht="12.75">
      <c r="B19" s="3" t="s">
        <v>176</v>
      </c>
      <c r="G19" s="136" t="s">
        <v>139</v>
      </c>
    </row>
    <row r="21" spans="2:3" ht="12.75">
      <c r="B21" t="s">
        <v>61</v>
      </c>
      <c r="C21" t="s">
        <v>62</v>
      </c>
    </row>
    <row r="22" ht="12.75">
      <c r="C22" t="s">
        <v>63</v>
      </c>
    </row>
    <row r="23" ht="12.75">
      <c r="C23" t="s">
        <v>91</v>
      </c>
    </row>
    <row r="26" spans="2:4" ht="12.75">
      <c r="B26" t="s">
        <v>64</v>
      </c>
      <c r="C26" t="s">
        <v>65</v>
      </c>
      <c r="D26" t="s">
        <v>66</v>
      </c>
    </row>
    <row r="27" spans="3:4" ht="12.75">
      <c r="C27" t="s">
        <v>67</v>
      </c>
      <c r="D27" t="s">
        <v>68</v>
      </c>
    </row>
    <row r="28" spans="3:4" ht="12.75">
      <c r="C28" t="s">
        <v>69</v>
      </c>
      <c r="D28" t="s">
        <v>70</v>
      </c>
    </row>
    <row r="29" spans="3:4" ht="12.75">
      <c r="C29" t="s">
        <v>71</v>
      </c>
      <c r="D29" s="3" t="s">
        <v>85</v>
      </c>
    </row>
    <row r="30" spans="3:4" ht="12.75">
      <c r="C30" s="3" t="s">
        <v>138</v>
      </c>
      <c r="D30" t="s">
        <v>72</v>
      </c>
    </row>
    <row r="31" spans="3:4" ht="12.75">
      <c r="C31" t="s">
        <v>73</v>
      </c>
      <c r="D31" t="s">
        <v>90</v>
      </c>
    </row>
    <row r="32" spans="3:4" ht="12.75">
      <c r="C32" t="s">
        <v>74</v>
      </c>
      <c r="D32" t="s">
        <v>96</v>
      </c>
    </row>
    <row r="33" spans="3:4" ht="12.75">
      <c r="C33" t="s">
        <v>75</v>
      </c>
      <c r="D33" t="s">
        <v>76</v>
      </c>
    </row>
    <row r="34" spans="3:4" ht="12.75">
      <c r="C34" t="s">
        <v>77</v>
      </c>
      <c r="D34" s="12" t="s">
        <v>84</v>
      </c>
    </row>
    <row r="35" spans="3:4" ht="12.75">
      <c r="C35" t="s">
        <v>146</v>
      </c>
      <c r="D35" s="12" t="s">
        <v>147</v>
      </c>
    </row>
    <row r="36" spans="3:4" ht="12.75">
      <c r="C36" t="s">
        <v>79</v>
      </c>
      <c r="D36" t="s">
        <v>154</v>
      </c>
    </row>
    <row r="37" spans="3:4" ht="12.75">
      <c r="C37" t="s">
        <v>78</v>
      </c>
      <c r="D37" t="s">
        <v>83</v>
      </c>
    </row>
    <row r="38" spans="3:4" ht="12.75">
      <c r="C38" t="s">
        <v>80</v>
      </c>
      <c r="D38" t="s">
        <v>82</v>
      </c>
    </row>
    <row r="39" spans="3:4" ht="12.75">
      <c r="C39" t="s">
        <v>81</v>
      </c>
      <c r="D39" s="3" t="s">
        <v>172</v>
      </c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4.7109375" style="33" customWidth="1"/>
    <col min="2" max="2" width="11.00390625" style="33" bestFit="1" customWidth="1"/>
    <col min="3" max="4" width="11.421875" style="33" bestFit="1" customWidth="1"/>
    <col min="5" max="5" width="11.421875" style="33" customWidth="1"/>
    <col min="6" max="8" width="11.421875" style="84" customWidth="1"/>
    <col min="9" max="9" width="11.421875" style="84" bestFit="1" customWidth="1"/>
    <col min="10" max="10" width="11.421875" style="84" customWidth="1"/>
    <col min="11" max="21" width="10.140625" style="33" bestFit="1" customWidth="1"/>
    <col min="22" max="16384" width="9.140625" style="33" customWidth="1"/>
  </cols>
  <sheetData>
    <row r="1" spans="1:21" ht="13.5" thickBot="1">
      <c r="A1" s="34" t="s">
        <v>23</v>
      </c>
      <c r="B1" s="17" t="s">
        <v>182</v>
      </c>
      <c r="C1" s="174" t="s">
        <v>183</v>
      </c>
      <c r="D1" s="55" t="s">
        <v>177</v>
      </c>
      <c r="E1" s="31">
        <v>44896</v>
      </c>
      <c r="F1" s="18">
        <v>44531</v>
      </c>
      <c r="G1" s="18">
        <v>44166</v>
      </c>
      <c r="H1" s="18">
        <v>43800</v>
      </c>
      <c r="I1" s="18">
        <v>43435</v>
      </c>
      <c r="J1" s="18">
        <v>43070</v>
      </c>
      <c r="K1" s="18">
        <v>42705</v>
      </c>
      <c r="L1" s="57">
        <v>42339</v>
      </c>
      <c r="M1" s="57">
        <v>41974</v>
      </c>
      <c r="N1" s="57">
        <v>41609</v>
      </c>
      <c r="O1" s="57">
        <v>41244</v>
      </c>
      <c r="P1" s="57">
        <v>40878</v>
      </c>
      <c r="Q1" s="57">
        <v>40513</v>
      </c>
      <c r="R1" s="57">
        <v>40148</v>
      </c>
      <c r="S1" s="57">
        <v>39783</v>
      </c>
      <c r="T1" s="35">
        <v>39417</v>
      </c>
      <c r="U1" s="98">
        <v>39052</v>
      </c>
    </row>
    <row r="2" spans="1:21" ht="12.75">
      <c r="A2" s="37" t="s">
        <v>3</v>
      </c>
      <c r="B2" s="38">
        <f>(E2-F2)/F2</f>
        <v>-0.199535192563081</v>
      </c>
      <c r="C2" s="196">
        <f>E2-'[1]Germany'!C2</f>
        <v>-1899</v>
      </c>
      <c r="D2" s="71">
        <f>F2-'[1]Germany'!D2</f>
        <v>-1871</v>
      </c>
      <c r="E2" s="39">
        <v>9644</v>
      </c>
      <c r="F2" s="71">
        <v>12048</v>
      </c>
      <c r="G2" s="71">
        <v>4646</v>
      </c>
      <c r="H2" s="71">
        <v>9601</v>
      </c>
      <c r="I2" s="71">
        <v>12195</v>
      </c>
      <c r="J2" s="71">
        <v>2695</v>
      </c>
      <c r="K2" s="71">
        <v>13933</v>
      </c>
      <c r="L2" s="71">
        <v>8771</v>
      </c>
      <c r="M2" s="71">
        <v>12791</v>
      </c>
      <c r="N2" s="71">
        <v>6565</v>
      </c>
      <c r="O2" s="71">
        <v>9036</v>
      </c>
      <c r="P2" s="71">
        <v>6862</v>
      </c>
      <c r="Q2" s="71">
        <v>7675</v>
      </c>
      <c r="R2" s="71">
        <v>7960</v>
      </c>
      <c r="S2" s="71">
        <v>12486</v>
      </c>
      <c r="T2" s="40">
        <v>9699</v>
      </c>
      <c r="U2" s="117">
        <v>13259</v>
      </c>
    </row>
    <row r="3" spans="1:21" ht="12.75">
      <c r="A3" s="37" t="s">
        <v>10</v>
      </c>
      <c r="B3" s="38">
        <f>(E3-F3)/F3</f>
        <v>0.15180519389119573</v>
      </c>
      <c r="C3" s="196">
        <f>E3-'[1]Germany'!C3</f>
        <v>-2833</v>
      </c>
      <c r="D3" s="71">
        <f>F3-'[1]Germany'!D3</f>
        <v>-4251</v>
      </c>
      <c r="E3" s="39">
        <v>49098</v>
      </c>
      <c r="F3" s="71">
        <v>42627</v>
      </c>
      <c r="G3" s="71">
        <v>46672</v>
      </c>
      <c r="H3" s="71">
        <v>47174</v>
      </c>
      <c r="I3" s="71">
        <v>51970</v>
      </c>
      <c r="J3" s="71">
        <v>25544</v>
      </c>
      <c r="K3" s="71">
        <v>45168</v>
      </c>
      <c r="L3" s="71">
        <v>51812</v>
      </c>
      <c r="M3" s="71">
        <v>47717</v>
      </c>
      <c r="N3" s="71">
        <v>34473</v>
      </c>
      <c r="O3" s="71">
        <v>40002</v>
      </c>
      <c r="P3" s="71">
        <v>34861</v>
      </c>
      <c r="Q3" s="71">
        <v>29621</v>
      </c>
      <c r="R3" s="71">
        <v>30549</v>
      </c>
      <c r="S3" s="71">
        <v>24941</v>
      </c>
      <c r="T3" s="40">
        <v>23057</v>
      </c>
      <c r="U3" s="117">
        <v>17023</v>
      </c>
    </row>
    <row r="4" spans="1:21" ht="12.75">
      <c r="A4" s="37" t="s">
        <v>4</v>
      </c>
      <c r="B4" s="38"/>
      <c r="C4" s="196">
        <f>E4-'[1]Germany'!C4</f>
        <v>0</v>
      </c>
      <c r="D4" s="71">
        <f>F4-'[1]Germany'!D4</f>
        <v>0</v>
      </c>
      <c r="E4" s="39">
        <v>0</v>
      </c>
      <c r="F4" s="71">
        <v>0</v>
      </c>
      <c r="G4" s="71">
        <v>78</v>
      </c>
      <c r="H4" s="71">
        <v>49</v>
      </c>
      <c r="I4" s="71">
        <v>239</v>
      </c>
      <c r="J4" s="71">
        <v>61</v>
      </c>
      <c r="K4" s="71">
        <v>394</v>
      </c>
      <c r="L4" s="71">
        <v>625</v>
      </c>
      <c r="M4" s="71">
        <v>469</v>
      </c>
      <c r="N4" s="71">
        <v>205</v>
      </c>
      <c r="O4" s="71">
        <v>351</v>
      </c>
      <c r="P4" s="71">
        <v>863</v>
      </c>
      <c r="Q4" s="71">
        <v>903</v>
      </c>
      <c r="R4" s="71">
        <v>1715</v>
      </c>
      <c r="S4" s="71">
        <v>2845</v>
      </c>
      <c r="T4" s="40">
        <v>1947</v>
      </c>
      <c r="U4" s="117">
        <v>4063</v>
      </c>
    </row>
    <row r="5" spans="1:21" ht="12.75">
      <c r="A5" s="37" t="s">
        <v>1</v>
      </c>
      <c r="B5" s="38">
        <f>(E5-F5)/F5</f>
        <v>0.42949685247001085</v>
      </c>
      <c r="C5" s="196">
        <f>E5-'[1]Germany'!C5</f>
        <v>-10108</v>
      </c>
      <c r="D5" s="71">
        <f>F5-'[1]Germany'!D5</f>
        <v>-9507</v>
      </c>
      <c r="E5" s="39">
        <v>93785</v>
      </c>
      <c r="F5" s="71">
        <v>65607</v>
      </c>
      <c r="G5" s="71">
        <v>67387</v>
      </c>
      <c r="H5" s="71">
        <v>72030</v>
      </c>
      <c r="I5" s="71">
        <v>66109</v>
      </c>
      <c r="J5" s="71">
        <v>44229</v>
      </c>
      <c r="K5" s="71">
        <v>66592</v>
      </c>
      <c r="L5" s="71">
        <v>74990</v>
      </c>
      <c r="M5" s="71">
        <v>82248</v>
      </c>
      <c r="N5" s="71">
        <v>56161</v>
      </c>
      <c r="O5" s="71">
        <v>62118</v>
      </c>
      <c r="P5" s="71">
        <v>68545</v>
      </c>
      <c r="Q5" s="71">
        <v>53752</v>
      </c>
      <c r="R5" s="71">
        <v>78217</v>
      </c>
      <c r="S5" s="71">
        <v>53128</v>
      </c>
      <c r="T5" s="40">
        <v>66569</v>
      </c>
      <c r="U5" s="117">
        <v>59742</v>
      </c>
    </row>
    <row r="6" spans="1:21" ht="12.75">
      <c r="A6" s="37" t="s">
        <v>11</v>
      </c>
      <c r="B6" s="38">
        <f>(E6-F6)/F6</f>
        <v>0.32592716338122285</v>
      </c>
      <c r="C6" s="196">
        <f>E6-'[1]Germany'!C6</f>
        <v>1470</v>
      </c>
      <c r="D6" s="71">
        <f>F6-'[1]Germany'!D6</f>
        <v>-290</v>
      </c>
      <c r="E6" s="39">
        <v>7937</v>
      </c>
      <c r="F6" s="71">
        <v>5986</v>
      </c>
      <c r="G6" s="71">
        <v>8297</v>
      </c>
      <c r="H6" s="71">
        <v>7523</v>
      </c>
      <c r="I6" s="71">
        <v>12006</v>
      </c>
      <c r="J6" s="71">
        <v>3628</v>
      </c>
      <c r="K6" s="71">
        <v>8348</v>
      </c>
      <c r="L6" s="71">
        <v>9802</v>
      </c>
      <c r="M6" s="71">
        <v>9580</v>
      </c>
      <c r="N6" s="71">
        <v>9368</v>
      </c>
      <c r="O6" s="71">
        <v>7038</v>
      </c>
      <c r="P6" s="71">
        <v>8784</v>
      </c>
      <c r="Q6" s="71">
        <v>6829</v>
      </c>
      <c r="R6" s="71">
        <v>7108</v>
      </c>
      <c r="S6" s="71">
        <v>5350</v>
      </c>
      <c r="T6" s="40">
        <v>6013</v>
      </c>
      <c r="U6" s="117">
        <v>3478</v>
      </c>
    </row>
    <row r="7" spans="1:21" ht="12.75">
      <c r="A7" s="37" t="s">
        <v>8</v>
      </c>
      <c r="B7" s="38">
        <f>(E7-F7)/F7</f>
        <v>0.04690985641122317</v>
      </c>
      <c r="C7" s="196">
        <f>E7-'[1]Germany'!C7</f>
        <v>-4574</v>
      </c>
      <c r="D7" s="71">
        <f>F7-'[1]Germany'!D7</f>
        <v>-3766</v>
      </c>
      <c r="E7" s="39">
        <v>33320</v>
      </c>
      <c r="F7" s="71">
        <v>31827</v>
      </c>
      <c r="G7" s="71">
        <v>32686</v>
      </c>
      <c r="H7" s="71">
        <v>25176</v>
      </c>
      <c r="I7" s="71">
        <v>28164</v>
      </c>
      <c r="J7" s="71">
        <v>18216</v>
      </c>
      <c r="K7" s="71">
        <v>25457</v>
      </c>
      <c r="L7" s="71">
        <v>26016</v>
      </c>
      <c r="M7" s="71">
        <v>20533</v>
      </c>
      <c r="N7" s="71">
        <v>20480</v>
      </c>
      <c r="O7" s="71">
        <v>21061</v>
      </c>
      <c r="P7" s="71">
        <v>21023</v>
      </c>
      <c r="Q7" s="71">
        <v>15525</v>
      </c>
      <c r="R7" s="71">
        <v>18851</v>
      </c>
      <c r="S7" s="71">
        <v>20571</v>
      </c>
      <c r="T7" s="40">
        <v>17274</v>
      </c>
      <c r="U7" s="117">
        <v>13724</v>
      </c>
    </row>
    <row r="8" spans="1:21" ht="12.75">
      <c r="A8" s="37" t="s">
        <v>13</v>
      </c>
      <c r="B8" s="38"/>
      <c r="C8" s="196">
        <f>E8-'[1]Germany'!C8</f>
        <v>0</v>
      </c>
      <c r="D8" s="71">
        <f>F8-'[1]Germany'!D8</f>
        <v>0</v>
      </c>
      <c r="E8" s="39">
        <v>0</v>
      </c>
      <c r="F8" s="71">
        <v>0</v>
      </c>
      <c r="G8" s="71">
        <v>428</v>
      </c>
      <c r="H8" s="71">
        <v>115</v>
      </c>
      <c r="I8" s="71">
        <v>860</v>
      </c>
      <c r="J8" s="71">
        <v>369</v>
      </c>
      <c r="K8" s="71">
        <v>1959</v>
      </c>
      <c r="L8" s="71">
        <v>1788</v>
      </c>
      <c r="M8" s="71">
        <v>3825</v>
      </c>
      <c r="N8" s="71">
        <v>3185</v>
      </c>
      <c r="O8" s="71">
        <v>5470</v>
      </c>
      <c r="P8" s="71">
        <v>7011</v>
      </c>
      <c r="Q8" s="71">
        <v>7856</v>
      </c>
      <c r="R8" s="71">
        <v>13168</v>
      </c>
      <c r="S8" s="71">
        <v>14899</v>
      </c>
      <c r="T8" s="40">
        <v>11136</v>
      </c>
      <c r="U8" s="117">
        <v>13605</v>
      </c>
    </row>
    <row r="9" spans="1:21" ht="12.75">
      <c r="A9" s="37" t="s">
        <v>2</v>
      </c>
      <c r="B9" s="38">
        <f>(E9-F9)/F9</f>
        <v>-0.16720257234726688</v>
      </c>
      <c r="C9" s="196">
        <f>E9-'[1]Germany'!C9</f>
        <v>-949</v>
      </c>
      <c r="D9" s="71">
        <f>F9-'[1]Germany'!D9</f>
        <v>-848</v>
      </c>
      <c r="E9" s="39">
        <v>3108</v>
      </c>
      <c r="F9" s="71">
        <v>3732</v>
      </c>
      <c r="G9" s="71">
        <v>5012</v>
      </c>
      <c r="H9" s="71">
        <v>3675</v>
      </c>
      <c r="I9" s="71">
        <v>4251</v>
      </c>
      <c r="J9" s="71">
        <v>4603</v>
      </c>
      <c r="K9" s="71">
        <v>8798</v>
      </c>
      <c r="L9" s="71">
        <v>9446</v>
      </c>
      <c r="M9" s="71">
        <v>9533</v>
      </c>
      <c r="N9" s="71">
        <v>12491</v>
      </c>
      <c r="O9" s="71">
        <v>15332</v>
      </c>
      <c r="P9" s="71">
        <v>19189</v>
      </c>
      <c r="Q9" s="71">
        <v>14541</v>
      </c>
      <c r="R9" s="71">
        <v>20830</v>
      </c>
      <c r="S9" s="71">
        <v>23889</v>
      </c>
      <c r="T9" s="40">
        <v>19578</v>
      </c>
      <c r="U9" s="117">
        <v>18429</v>
      </c>
    </row>
    <row r="10" spans="1:21" ht="12.75">
      <c r="A10" s="37" t="s">
        <v>14</v>
      </c>
      <c r="B10" s="38">
        <f>(E10-F10)/F10</f>
        <v>0.15298340062808435</v>
      </c>
      <c r="C10" s="196">
        <f>E10-'[1]Germany'!C10</f>
        <v>-805</v>
      </c>
      <c r="D10" s="71">
        <f>F10-'[1]Germany'!D10</f>
        <v>-970</v>
      </c>
      <c r="E10" s="39">
        <v>2570</v>
      </c>
      <c r="F10" s="71">
        <v>2229</v>
      </c>
      <c r="G10" s="71">
        <v>3098</v>
      </c>
      <c r="H10" s="71">
        <v>4363</v>
      </c>
      <c r="I10" s="71">
        <v>3868</v>
      </c>
      <c r="J10" s="71">
        <v>1127</v>
      </c>
      <c r="K10" s="71">
        <v>4065</v>
      </c>
      <c r="L10" s="71">
        <v>5753</v>
      </c>
      <c r="M10" s="71">
        <v>4420</v>
      </c>
      <c r="N10" s="71">
        <v>1289</v>
      </c>
      <c r="O10" s="71">
        <v>2458</v>
      </c>
      <c r="P10" s="71">
        <v>5425</v>
      </c>
      <c r="Q10" s="71">
        <v>5329</v>
      </c>
      <c r="R10" s="71">
        <v>7051</v>
      </c>
      <c r="S10" s="71">
        <v>7956</v>
      </c>
      <c r="T10" s="40">
        <v>5470</v>
      </c>
      <c r="U10" s="117">
        <v>8007</v>
      </c>
    </row>
    <row r="11" spans="1:22" ht="12.75">
      <c r="A11" s="37" t="s">
        <v>9</v>
      </c>
      <c r="B11" s="38">
        <f>(E11-F11)/F11</f>
        <v>-0.40748401654757427</v>
      </c>
      <c r="C11" s="196">
        <f>E11-'[1]Germany'!C11</f>
        <v>590</v>
      </c>
      <c r="D11" s="71">
        <f>F11-'[1]Germany'!D11</f>
        <v>821</v>
      </c>
      <c r="E11" s="39">
        <v>3151</v>
      </c>
      <c r="F11" s="71">
        <v>5318</v>
      </c>
      <c r="G11" s="71">
        <v>6116</v>
      </c>
      <c r="H11" s="71">
        <v>4132</v>
      </c>
      <c r="I11" s="71">
        <v>9068</v>
      </c>
      <c r="J11" s="71">
        <v>8699</v>
      </c>
      <c r="K11" s="71">
        <v>11621</v>
      </c>
      <c r="L11" s="71">
        <v>16839</v>
      </c>
      <c r="M11" s="71">
        <v>11650</v>
      </c>
      <c r="N11" s="71">
        <v>22499</v>
      </c>
      <c r="O11" s="71">
        <v>24959</v>
      </c>
      <c r="P11" s="71">
        <v>24190</v>
      </c>
      <c r="Q11" s="71">
        <v>22799</v>
      </c>
      <c r="R11" s="71">
        <v>27468</v>
      </c>
      <c r="S11" s="71">
        <v>28247</v>
      </c>
      <c r="T11" s="40">
        <v>19808</v>
      </c>
      <c r="U11" s="117">
        <v>27140</v>
      </c>
      <c r="V11" s="85"/>
    </row>
    <row r="12" spans="1:22" ht="12.75">
      <c r="A12" s="37" t="s">
        <v>109</v>
      </c>
      <c r="B12" s="38"/>
      <c r="C12" s="196">
        <f>E12-'[1]Germany'!C12</f>
        <v>0</v>
      </c>
      <c r="D12" s="71">
        <f>F12-'[1]Germany'!D12</f>
        <v>0</v>
      </c>
      <c r="E12" s="39">
        <v>0</v>
      </c>
      <c r="F12" s="71">
        <v>0</v>
      </c>
      <c r="G12" s="71">
        <v>10</v>
      </c>
      <c r="H12" s="71">
        <v>29</v>
      </c>
      <c r="I12" s="71">
        <v>195</v>
      </c>
      <c r="J12" s="71">
        <v>192</v>
      </c>
      <c r="K12" s="71">
        <v>155</v>
      </c>
      <c r="L12" s="71">
        <v>359</v>
      </c>
      <c r="M12" s="71">
        <v>158</v>
      </c>
      <c r="N12" s="71">
        <v>168</v>
      </c>
      <c r="O12" s="71">
        <v>185</v>
      </c>
      <c r="P12" s="71">
        <v>245</v>
      </c>
      <c r="Q12" s="71">
        <v>362</v>
      </c>
      <c r="R12" s="71">
        <v>513</v>
      </c>
      <c r="S12" s="71">
        <v>1471</v>
      </c>
      <c r="T12" s="40">
        <v>676</v>
      </c>
      <c r="U12" s="117">
        <v>823</v>
      </c>
      <c r="V12" s="85"/>
    </row>
    <row r="13" spans="1:22" ht="12.75">
      <c r="A13" s="37" t="s">
        <v>26</v>
      </c>
      <c r="B13" s="38">
        <f aca="true" t="shared" si="0" ref="B13:B21">(E13-F13)/F13</f>
        <v>0.029056724708898623</v>
      </c>
      <c r="C13" s="196">
        <f>E13-'[1]Germany'!C13</f>
        <v>-1313</v>
      </c>
      <c r="D13" s="71">
        <f>F13-'[1]Germany'!D13</f>
        <v>1315</v>
      </c>
      <c r="E13" s="39">
        <v>19266</v>
      </c>
      <c r="F13" s="71">
        <v>18722</v>
      </c>
      <c r="G13" s="71">
        <v>11717</v>
      </c>
      <c r="H13" s="71">
        <v>17131</v>
      </c>
      <c r="I13" s="71">
        <v>32334</v>
      </c>
      <c r="J13" s="71">
        <v>12822</v>
      </c>
      <c r="K13" s="71">
        <v>34639</v>
      </c>
      <c r="L13" s="71">
        <v>30092</v>
      </c>
      <c r="M13" s="71">
        <v>39508</v>
      </c>
      <c r="N13" s="71">
        <v>31729</v>
      </c>
      <c r="O13" s="71">
        <v>42384</v>
      </c>
      <c r="P13" s="71">
        <v>51310</v>
      </c>
      <c r="Q13" s="71">
        <v>41085</v>
      </c>
      <c r="R13" s="71">
        <v>61512</v>
      </c>
      <c r="S13" s="71">
        <v>54942</v>
      </c>
      <c r="T13" s="40">
        <v>59439</v>
      </c>
      <c r="U13" s="117">
        <v>55076</v>
      </c>
      <c r="V13" s="85"/>
    </row>
    <row r="14" spans="1:21" ht="12.75">
      <c r="A14" s="37" t="s">
        <v>25</v>
      </c>
      <c r="B14" s="38">
        <f t="shared" si="0"/>
        <v>-0.2276402669397267</v>
      </c>
      <c r="C14" s="196">
        <f>E14-'[1]Germany'!C14</f>
        <v>-1068</v>
      </c>
      <c r="D14" s="71">
        <f>F14-'[1]Germany'!D14</f>
        <v>-2901</v>
      </c>
      <c r="E14" s="39">
        <v>21874</v>
      </c>
      <c r="F14" s="71">
        <v>28321</v>
      </c>
      <c r="G14" s="71">
        <v>30635</v>
      </c>
      <c r="H14" s="71">
        <v>33235</v>
      </c>
      <c r="I14" s="71">
        <v>53917</v>
      </c>
      <c r="J14" s="71">
        <v>26710</v>
      </c>
      <c r="K14" s="71">
        <v>60211</v>
      </c>
      <c r="L14" s="71">
        <v>57143</v>
      </c>
      <c r="M14" s="71">
        <v>72896</v>
      </c>
      <c r="N14" s="71">
        <v>47555</v>
      </c>
      <c r="O14" s="71">
        <v>67943</v>
      </c>
      <c r="P14" s="71">
        <v>75469</v>
      </c>
      <c r="Q14" s="71">
        <v>58306</v>
      </c>
      <c r="R14" s="71">
        <v>82449</v>
      </c>
      <c r="S14" s="71">
        <v>67519</v>
      </c>
      <c r="T14" s="40">
        <v>62254</v>
      </c>
      <c r="U14" s="117">
        <v>62677</v>
      </c>
    </row>
    <row r="15" spans="1:21" ht="12.75">
      <c r="A15" s="37" t="s">
        <v>12</v>
      </c>
      <c r="B15" s="38">
        <f t="shared" si="0"/>
        <v>-0.0553102771645818</v>
      </c>
      <c r="C15" s="196">
        <f>E15-'[1]Germany'!C15</f>
        <v>-309</v>
      </c>
      <c r="D15" s="71">
        <f>F15-'[1]Germany'!D15</f>
        <v>-9551</v>
      </c>
      <c r="E15" s="39">
        <v>7703</v>
      </c>
      <c r="F15" s="71">
        <v>8154</v>
      </c>
      <c r="G15" s="71">
        <v>9384</v>
      </c>
      <c r="H15" s="71">
        <v>8986</v>
      </c>
      <c r="I15" s="71">
        <v>11251</v>
      </c>
      <c r="J15" s="71">
        <v>8165</v>
      </c>
      <c r="K15" s="71">
        <v>13201</v>
      </c>
      <c r="L15" s="71">
        <v>13516</v>
      </c>
      <c r="M15" s="71">
        <v>15080</v>
      </c>
      <c r="N15" s="71">
        <v>12267</v>
      </c>
      <c r="O15" s="71">
        <v>14352</v>
      </c>
      <c r="P15" s="71">
        <v>12379</v>
      </c>
      <c r="Q15" s="71">
        <v>10476</v>
      </c>
      <c r="R15" s="71">
        <v>13681</v>
      </c>
      <c r="S15" s="71">
        <v>11513</v>
      </c>
      <c r="T15" s="40">
        <v>10920</v>
      </c>
      <c r="U15" s="117">
        <v>8908</v>
      </c>
    </row>
    <row r="16" spans="1:21" ht="12.75">
      <c r="A16" s="37" t="s">
        <v>97</v>
      </c>
      <c r="B16" s="38">
        <f t="shared" si="0"/>
        <v>-0.11244710053757291</v>
      </c>
      <c r="C16" s="196">
        <f>E16-'[1]Germany'!C16</f>
        <v>-1483</v>
      </c>
      <c r="D16" s="71">
        <f>F16-'[1]Germany'!D16</f>
        <v>-3528</v>
      </c>
      <c r="E16" s="39">
        <v>62079</v>
      </c>
      <c r="F16" s="71">
        <v>69944</v>
      </c>
      <c r="G16" s="71">
        <v>57058</v>
      </c>
      <c r="H16" s="71">
        <v>59748</v>
      </c>
      <c r="I16" s="71">
        <v>71383</v>
      </c>
      <c r="J16" s="71">
        <v>41596</v>
      </c>
      <c r="K16" s="71">
        <v>60149</v>
      </c>
      <c r="L16" s="71">
        <v>37163</v>
      </c>
      <c r="M16" s="71">
        <v>45161</v>
      </c>
      <c r="N16" s="71">
        <v>19737</v>
      </c>
      <c r="O16" s="71">
        <v>30514</v>
      </c>
      <c r="P16" s="71">
        <v>23972</v>
      </c>
      <c r="Q16" s="71">
        <v>18137</v>
      </c>
      <c r="R16" s="71">
        <v>21424</v>
      </c>
      <c r="S16" s="71">
        <v>14648</v>
      </c>
      <c r="T16" s="40">
        <v>13893</v>
      </c>
      <c r="U16" s="117">
        <v>7213</v>
      </c>
    </row>
    <row r="17" spans="1:23" s="59" customFormat="1" ht="12.75">
      <c r="A17" s="37" t="s">
        <v>88</v>
      </c>
      <c r="B17" s="38">
        <f t="shared" si="0"/>
        <v>-0.19144602851323828</v>
      </c>
      <c r="C17" s="196">
        <f>E17-'[1]Germany'!C17</f>
        <v>-493</v>
      </c>
      <c r="D17" s="71">
        <f>F17-'[1]Germany'!D17</f>
        <v>-1149</v>
      </c>
      <c r="E17" s="39">
        <v>1985</v>
      </c>
      <c r="F17" s="71">
        <v>2455</v>
      </c>
      <c r="G17" s="71">
        <v>815</v>
      </c>
      <c r="H17" s="71">
        <v>1141</v>
      </c>
      <c r="I17" s="71">
        <v>1851</v>
      </c>
      <c r="J17" s="71">
        <v>2697</v>
      </c>
      <c r="K17" s="71">
        <v>4529</v>
      </c>
      <c r="L17" s="71">
        <v>3026</v>
      </c>
      <c r="M17" s="71">
        <v>3429</v>
      </c>
      <c r="N17" s="71">
        <v>1601</v>
      </c>
      <c r="O17" s="71">
        <v>4368</v>
      </c>
      <c r="P17" s="71">
        <v>4436</v>
      </c>
      <c r="Q17" s="71">
        <v>2743</v>
      </c>
      <c r="R17" s="71">
        <v>4282</v>
      </c>
      <c r="S17" s="71">
        <v>3079</v>
      </c>
      <c r="T17" s="40">
        <v>2888</v>
      </c>
      <c r="U17" s="117">
        <v>2738</v>
      </c>
      <c r="W17" s="33"/>
    </row>
    <row r="18" spans="1:21" ht="12.75">
      <c r="A18" s="37" t="s">
        <v>103</v>
      </c>
      <c r="B18" s="38">
        <f t="shared" si="0"/>
        <v>0.5931185144729656</v>
      </c>
      <c r="C18" s="196">
        <f>E18-'[1]Germany'!C18</f>
        <v>-131</v>
      </c>
      <c r="D18" s="71">
        <f>F18-'[1]Germany'!D18</f>
        <v>-316</v>
      </c>
      <c r="E18" s="39">
        <v>2917</v>
      </c>
      <c r="F18" s="71">
        <v>1831</v>
      </c>
      <c r="G18" s="71">
        <v>2027</v>
      </c>
      <c r="H18" s="71">
        <v>1883</v>
      </c>
      <c r="I18" s="71">
        <v>2988</v>
      </c>
      <c r="J18" s="71">
        <v>657</v>
      </c>
      <c r="K18" s="71">
        <v>1510</v>
      </c>
      <c r="L18" s="71">
        <v>2312</v>
      </c>
      <c r="M18" s="71">
        <v>2382</v>
      </c>
      <c r="N18" s="71">
        <v>2228</v>
      </c>
      <c r="O18" s="71">
        <v>2173</v>
      </c>
      <c r="P18" s="71">
        <v>2521</v>
      </c>
      <c r="Q18" s="71">
        <v>1982</v>
      </c>
      <c r="R18" s="71">
        <v>2308</v>
      </c>
      <c r="S18" s="71">
        <v>1661</v>
      </c>
      <c r="T18" s="40">
        <v>2078</v>
      </c>
      <c r="U18" s="117">
        <v>1036</v>
      </c>
    </row>
    <row r="19" spans="1:21" ht="12.75">
      <c r="A19" s="37" t="s">
        <v>141</v>
      </c>
      <c r="B19" s="38">
        <f t="shared" si="0"/>
        <v>0.13491874064269752</v>
      </c>
      <c r="C19" s="196">
        <f>E19-'[1]Germany'!C19</f>
        <v>-1700</v>
      </c>
      <c r="D19" s="71">
        <f>F19-'[1]Germany'!D19</f>
        <v>12028</v>
      </c>
      <c r="E19" s="39">
        <v>52305</v>
      </c>
      <c r="F19" s="71">
        <v>46087</v>
      </c>
      <c r="G19" s="71">
        <v>47155</v>
      </c>
      <c r="H19" s="71">
        <v>37376</v>
      </c>
      <c r="I19" s="71">
        <v>43056</v>
      </c>
      <c r="J19" s="71">
        <v>20530</v>
      </c>
      <c r="K19" s="71">
        <v>31232</v>
      </c>
      <c r="L19" s="71">
        <v>29902</v>
      </c>
      <c r="M19" s="71">
        <v>29197</v>
      </c>
      <c r="N19" s="71">
        <v>19591</v>
      </c>
      <c r="O19" s="71">
        <v>18353</v>
      </c>
      <c r="P19" s="71">
        <v>15681</v>
      </c>
      <c r="Q19" s="71">
        <v>8536</v>
      </c>
      <c r="R19" s="71">
        <v>8901</v>
      </c>
      <c r="S19" s="71">
        <v>2842</v>
      </c>
      <c r="T19" s="40">
        <v>3336</v>
      </c>
      <c r="U19" s="117">
        <v>1871</v>
      </c>
    </row>
    <row r="20" spans="1:21" ht="13.5" thickBot="1">
      <c r="A20" s="44" t="s">
        <v>5</v>
      </c>
      <c r="B20" s="45">
        <f t="shared" si="0"/>
        <v>1.5590526643814273</v>
      </c>
      <c r="C20" s="204">
        <f>E20-'[1]Germany'!C20</f>
        <v>-1025</v>
      </c>
      <c r="D20" s="106">
        <f>F20-'[1]Germany'!D20</f>
        <v>-8925</v>
      </c>
      <c r="E20" s="46">
        <v>16424</v>
      </c>
      <c r="F20" s="106">
        <v>6418</v>
      </c>
      <c r="G20" s="106">
        <v>5721</v>
      </c>
      <c r="H20" s="106">
        <v>9667</v>
      </c>
      <c r="I20" s="106">
        <v>8012</v>
      </c>
      <c r="J20" s="106">
        <v>3228</v>
      </c>
      <c r="K20" s="106">
        <v>8377</v>
      </c>
      <c r="L20" s="106">
        <v>5695</v>
      </c>
      <c r="M20" s="106">
        <v>8540</v>
      </c>
      <c r="N20" s="106">
        <v>6562</v>
      </c>
      <c r="O20" s="106">
        <v>7954</v>
      </c>
      <c r="P20" s="106">
        <v>7543</v>
      </c>
      <c r="Q20" s="106">
        <v>7035</v>
      </c>
      <c r="R20" s="106">
        <v>9245</v>
      </c>
      <c r="S20" s="106">
        <v>9124</v>
      </c>
      <c r="T20" s="47">
        <v>8005</v>
      </c>
      <c r="U20" s="118">
        <v>7206</v>
      </c>
    </row>
    <row r="21" spans="1:21" ht="13.5" thickBot="1">
      <c r="A21" s="49" t="s">
        <v>93</v>
      </c>
      <c r="B21" s="78">
        <f t="shared" si="0"/>
        <v>0.10207625261168327</v>
      </c>
      <c r="C21" s="200">
        <f>E21-'[1]Germany'!C21</f>
        <v>-26630</v>
      </c>
      <c r="D21" s="80">
        <f>F21-'[1]Germany'!D21</f>
        <v>-33709</v>
      </c>
      <c r="E21" s="79">
        <f>SUM(E2:E20)</f>
        <v>387166</v>
      </c>
      <c r="F21" s="80">
        <f>SUM(F2:F20)</f>
        <v>351306</v>
      </c>
      <c r="G21" s="80">
        <f>SUM(G2:G20)</f>
        <v>338942</v>
      </c>
      <c r="H21" s="80">
        <f>SUM(H2:H20)</f>
        <v>343034</v>
      </c>
      <c r="I21" s="80">
        <f>SUM(I2:I20)</f>
        <v>413717</v>
      </c>
      <c r="J21" s="80">
        <v>225768</v>
      </c>
      <c r="K21" s="102">
        <f>SUM(K2:K20)</f>
        <v>400338</v>
      </c>
      <c r="L21" s="102">
        <f>SUM(L2:L20)</f>
        <v>385050</v>
      </c>
      <c r="M21" s="102">
        <f>SUM(M2:M20)</f>
        <v>419117</v>
      </c>
      <c r="N21" s="102">
        <f>SUM(N2:N20)</f>
        <v>308154</v>
      </c>
      <c r="O21" s="102">
        <f>SUM(O2:O20)</f>
        <v>376051</v>
      </c>
      <c r="P21" s="102">
        <f aca="true" t="shared" si="1" ref="P21:U21">SUM(P2:P20)</f>
        <v>390309</v>
      </c>
      <c r="Q21" s="102">
        <f t="shared" si="1"/>
        <v>313492</v>
      </c>
      <c r="R21" s="102">
        <f t="shared" si="1"/>
        <v>417232</v>
      </c>
      <c r="S21" s="102">
        <f t="shared" si="1"/>
        <v>361111</v>
      </c>
      <c r="T21" s="52">
        <f t="shared" si="1"/>
        <v>344040</v>
      </c>
      <c r="U21" s="103">
        <f t="shared" si="1"/>
        <v>326018</v>
      </c>
    </row>
    <row r="22" spans="4:11" ht="12.75">
      <c r="D22" s="84"/>
      <c r="E22" s="84"/>
      <c r="K22" s="84"/>
    </row>
    <row r="23" spans="2:21" ht="13.5" thickBot="1">
      <c r="B23" s="36"/>
      <c r="C23" s="36"/>
      <c r="D23" s="128"/>
      <c r="E23" s="128"/>
      <c r="F23" s="128"/>
      <c r="G23" s="128"/>
      <c r="H23" s="128"/>
      <c r="I23" s="128"/>
      <c r="J23" s="128"/>
      <c r="K23" s="128"/>
      <c r="L23" s="36"/>
      <c r="M23" s="36"/>
      <c r="N23" s="36"/>
      <c r="O23" s="36"/>
      <c r="P23" s="36"/>
      <c r="Q23" s="36"/>
      <c r="R23" s="36"/>
      <c r="S23" s="36"/>
      <c r="T23" s="36"/>
      <c r="U23" s="36"/>
    </row>
    <row r="24" spans="1:21" s="36" customFormat="1" ht="13.5" thickBot="1">
      <c r="A24" s="34" t="s">
        <v>24</v>
      </c>
      <c r="B24" s="17" t="s">
        <v>182</v>
      </c>
      <c r="C24" s="174" t="s">
        <v>183</v>
      </c>
      <c r="D24" s="55" t="s">
        <v>177</v>
      </c>
      <c r="E24" s="31">
        <v>44896</v>
      </c>
      <c r="F24" s="18">
        <v>44531</v>
      </c>
      <c r="G24" s="18">
        <v>44166</v>
      </c>
      <c r="H24" s="18">
        <v>43800</v>
      </c>
      <c r="I24" s="18">
        <v>43435</v>
      </c>
      <c r="J24" s="18">
        <v>43070</v>
      </c>
      <c r="K24" s="18">
        <v>42705</v>
      </c>
      <c r="L24" s="57">
        <f>L1</f>
        <v>42339</v>
      </c>
      <c r="M24" s="57">
        <f>M1</f>
        <v>41974</v>
      </c>
      <c r="N24" s="57">
        <v>41609</v>
      </c>
      <c r="O24" s="57">
        <v>41244</v>
      </c>
      <c r="P24" s="57">
        <v>40878</v>
      </c>
      <c r="Q24" s="57">
        <v>40513</v>
      </c>
      <c r="R24" s="57">
        <v>40148</v>
      </c>
      <c r="S24" s="57">
        <v>39783</v>
      </c>
      <c r="T24" s="35">
        <v>39417</v>
      </c>
      <c r="U24" s="98">
        <v>39052</v>
      </c>
    </row>
    <row r="25" spans="1:21" ht="13.5" thickBot="1">
      <c r="A25" s="44" t="s">
        <v>5</v>
      </c>
      <c r="B25" s="126">
        <f>(E25-F25)/F25</f>
        <v>-0.08282208588957055</v>
      </c>
      <c r="C25" s="204">
        <f>E25-'[1]Germany'!C25</f>
        <v>-513</v>
      </c>
      <c r="D25" s="106">
        <f>F25-'[1]Germany'!D25</f>
        <v>-1911</v>
      </c>
      <c r="E25" s="46">
        <v>5083</v>
      </c>
      <c r="F25" s="106">
        <v>5542</v>
      </c>
      <c r="G25" s="106">
        <v>4953</v>
      </c>
      <c r="H25" s="106">
        <v>5376</v>
      </c>
      <c r="I25" s="106">
        <v>5040</v>
      </c>
      <c r="J25" s="106">
        <v>3221</v>
      </c>
      <c r="K25" s="106">
        <v>3457</v>
      </c>
      <c r="L25" s="106">
        <v>5609</v>
      </c>
      <c r="M25" s="106">
        <v>3339</v>
      </c>
      <c r="N25" s="106">
        <v>5436</v>
      </c>
      <c r="O25" s="106">
        <v>2045</v>
      </c>
      <c r="P25" s="106">
        <v>4606</v>
      </c>
      <c r="Q25" s="106">
        <v>3862</v>
      </c>
      <c r="R25" s="106">
        <v>4446</v>
      </c>
      <c r="S25" s="106">
        <v>2527</v>
      </c>
      <c r="T25" s="47">
        <v>2243</v>
      </c>
      <c r="U25" s="118">
        <v>2064</v>
      </c>
    </row>
    <row r="26" spans="1:21" ht="13.5" thickBot="1">
      <c r="A26" s="49" t="s">
        <v>93</v>
      </c>
      <c r="B26" s="50">
        <f>(E26-F26)/F26</f>
        <v>-0.08282208588957055</v>
      </c>
      <c r="C26" s="197">
        <f>E26-'[1]Germany'!C26</f>
        <v>-513</v>
      </c>
      <c r="D26" s="102">
        <f>F26-'[1]Germany'!D26</f>
        <v>-1911</v>
      </c>
      <c r="E26" s="79">
        <v>5083</v>
      </c>
      <c r="F26" s="80">
        <v>5542</v>
      </c>
      <c r="G26" s="102">
        <v>4953</v>
      </c>
      <c r="H26" s="102">
        <v>5376</v>
      </c>
      <c r="I26" s="102">
        <v>5040</v>
      </c>
      <c r="J26" s="102">
        <v>3221</v>
      </c>
      <c r="K26" s="102">
        <f>SUM(K25)</f>
        <v>3457</v>
      </c>
      <c r="L26" s="102">
        <f>SUM(L25)</f>
        <v>5609</v>
      </c>
      <c r="M26" s="102">
        <f>SUM(M25)</f>
        <v>3339</v>
      </c>
      <c r="N26" s="102">
        <f>SUM(N25)</f>
        <v>5436</v>
      </c>
      <c r="O26" s="102">
        <f>SUM(O25)</f>
        <v>2045</v>
      </c>
      <c r="P26" s="102">
        <f aca="true" t="shared" si="2" ref="P26:U26">SUM(P25)</f>
        <v>4606</v>
      </c>
      <c r="Q26" s="102">
        <f t="shared" si="2"/>
        <v>3862</v>
      </c>
      <c r="R26" s="102">
        <f t="shared" si="2"/>
        <v>4446</v>
      </c>
      <c r="S26" s="102">
        <f t="shared" si="2"/>
        <v>2527</v>
      </c>
      <c r="T26" s="52">
        <f t="shared" si="2"/>
        <v>2243</v>
      </c>
      <c r="U26" s="53">
        <f t="shared" si="2"/>
        <v>2064</v>
      </c>
    </row>
    <row r="28" ht="12.75">
      <c r="A28" s="36"/>
    </row>
  </sheetData>
  <sheetProtection/>
  <printOptions/>
  <pageMargins left="0.75" right="0.75" top="1" bottom="1" header="0.5" footer="0.5"/>
  <pageSetup fitToHeight="3" fitToWidth="1" horizontalDpi="600" verticalDpi="600" orientation="landscape" paperSize="9" scale="66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4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9.28125" style="33" customWidth="1"/>
    <col min="2" max="2" width="10.7109375" style="33" customWidth="1"/>
    <col min="3" max="3" width="11.421875" style="33" bestFit="1" customWidth="1"/>
    <col min="4" max="4" width="11.8515625" style="33" bestFit="1" customWidth="1"/>
    <col min="5" max="5" width="11.8515625" style="33" customWidth="1"/>
    <col min="6" max="8" width="11.8515625" style="84" customWidth="1"/>
    <col min="9" max="9" width="11.421875" style="65" bestFit="1" customWidth="1"/>
    <col min="10" max="10" width="11.421875" style="65" customWidth="1"/>
    <col min="11" max="11" width="10.140625" style="33" bestFit="1" customWidth="1"/>
    <col min="12" max="19" width="10.140625" style="59" bestFit="1" customWidth="1"/>
    <col min="20" max="21" width="10.140625" style="33" bestFit="1" customWidth="1"/>
    <col min="22" max="16384" width="9.140625" style="33" customWidth="1"/>
  </cols>
  <sheetData>
    <row r="1" spans="1:21" s="59" customFormat="1" ht="13.5" thickBot="1">
      <c r="A1" s="34" t="s">
        <v>23</v>
      </c>
      <c r="B1" s="17" t="s">
        <v>182</v>
      </c>
      <c r="C1" s="174" t="s">
        <v>183</v>
      </c>
      <c r="D1" s="55" t="s">
        <v>177</v>
      </c>
      <c r="E1" s="31">
        <v>44896</v>
      </c>
      <c r="F1" s="18">
        <v>44531</v>
      </c>
      <c r="G1" s="18">
        <v>44166</v>
      </c>
      <c r="H1" s="18">
        <v>43800</v>
      </c>
      <c r="I1" s="57">
        <v>43435</v>
      </c>
      <c r="J1" s="57">
        <v>43070</v>
      </c>
      <c r="K1" s="18">
        <v>42705</v>
      </c>
      <c r="L1" s="57">
        <v>42339</v>
      </c>
      <c r="M1" s="57">
        <v>41974</v>
      </c>
      <c r="N1" s="57">
        <v>41609</v>
      </c>
      <c r="O1" s="57">
        <v>41244</v>
      </c>
      <c r="P1" s="57">
        <v>40878</v>
      </c>
      <c r="Q1" s="57">
        <v>40513</v>
      </c>
      <c r="R1" s="57">
        <v>40148</v>
      </c>
      <c r="S1" s="57">
        <v>39783</v>
      </c>
      <c r="T1" s="35">
        <v>39417</v>
      </c>
      <c r="U1" s="98">
        <v>39052</v>
      </c>
    </row>
    <row r="2" spans="1:21" ht="12.75">
      <c r="A2" s="67" t="s">
        <v>145</v>
      </c>
      <c r="B2" s="68">
        <f>(E2-F2)/F2</f>
        <v>0</v>
      </c>
      <c r="C2" s="198">
        <f>E2-'[1]Italy'!C2</f>
        <v>-10000</v>
      </c>
      <c r="D2" s="43">
        <f>F2-'[1]Italy'!D2</f>
        <v>-10000</v>
      </c>
      <c r="E2" s="69">
        <v>25000</v>
      </c>
      <c r="F2" s="83">
        <v>25000</v>
      </c>
      <c r="G2" s="43">
        <v>25000</v>
      </c>
      <c r="H2" s="43">
        <v>25000</v>
      </c>
      <c r="I2" s="43">
        <v>25000</v>
      </c>
      <c r="J2" s="43">
        <v>18000</v>
      </c>
      <c r="K2" s="43">
        <v>20000</v>
      </c>
      <c r="L2" s="43">
        <v>20000</v>
      </c>
      <c r="M2" s="43">
        <v>27000</v>
      </c>
      <c r="N2" s="43"/>
      <c r="O2" s="43">
        <v>33521.62733001784</v>
      </c>
      <c r="P2" s="43">
        <v>20048.692952691636</v>
      </c>
      <c r="Q2" s="43">
        <v>20000</v>
      </c>
      <c r="R2" s="43">
        <v>20000</v>
      </c>
      <c r="S2" s="43">
        <v>27000</v>
      </c>
      <c r="T2" s="43">
        <v>30000</v>
      </c>
      <c r="U2" s="42">
        <v>40000</v>
      </c>
    </row>
    <row r="3" spans="1:27" ht="12.75">
      <c r="A3" s="67" t="s">
        <v>10</v>
      </c>
      <c r="B3" s="68">
        <f>(E3-F3)/F3</f>
        <v>-0.19958017332709757</v>
      </c>
      <c r="C3" s="198">
        <f>E3-'[1]Italy'!C3</f>
        <v>-2482.2610000000022</v>
      </c>
      <c r="D3" s="43">
        <f>F3-'[1]Italy'!D3</f>
        <v>-3421.3770000000004</v>
      </c>
      <c r="E3" s="69">
        <v>26730.950999999997</v>
      </c>
      <c r="F3" s="83">
        <v>33396.163</v>
      </c>
      <c r="G3" s="43">
        <v>33448.295999999995</v>
      </c>
      <c r="H3" s="43">
        <v>41982</v>
      </c>
      <c r="I3" s="43">
        <v>52201</v>
      </c>
      <c r="J3" s="43">
        <v>43268</v>
      </c>
      <c r="K3" s="43">
        <v>65977.7</v>
      </c>
      <c r="L3" s="43">
        <v>60952</v>
      </c>
      <c r="M3" s="43">
        <v>70274</v>
      </c>
      <c r="N3" s="43">
        <v>65487</v>
      </c>
      <c r="O3" s="43">
        <v>56620.344651172</v>
      </c>
      <c r="P3" s="43">
        <v>75619.6600789623</v>
      </c>
      <c r="Q3" s="43">
        <v>68936</v>
      </c>
      <c r="R3" s="43">
        <v>67343</v>
      </c>
      <c r="S3" s="43">
        <v>65212.2</v>
      </c>
      <c r="T3" s="43">
        <v>68212.5</v>
      </c>
      <c r="U3" s="42">
        <v>58382</v>
      </c>
      <c r="X3" s="85"/>
      <c r="Y3" s="85"/>
      <c r="Z3" s="85"/>
      <c r="AA3" s="85"/>
    </row>
    <row r="4" spans="1:27" ht="12.75">
      <c r="A4" s="37" t="s">
        <v>60</v>
      </c>
      <c r="B4" s="68">
        <f>(E4-F4)/F4</f>
        <v>0.25433999906906823</v>
      </c>
      <c r="C4" s="198">
        <f>E4-'[1]Italy'!C4</f>
        <v>16324.682</v>
      </c>
      <c r="D4" s="43">
        <f>F4-'[1]Italy'!D4</f>
        <v>34229.30258520072</v>
      </c>
      <c r="E4" s="69">
        <v>101324.682</v>
      </c>
      <c r="F4" s="83">
        <v>80779.28</v>
      </c>
      <c r="G4" s="43">
        <v>86428.51000000001</v>
      </c>
      <c r="H4" s="43">
        <v>78542</v>
      </c>
      <c r="I4" s="43">
        <v>87181</v>
      </c>
      <c r="J4" s="43">
        <v>85265</v>
      </c>
      <c r="K4" s="43">
        <v>77319.8</v>
      </c>
      <c r="L4" s="43">
        <v>65199.6</v>
      </c>
      <c r="M4" s="43">
        <v>80095</v>
      </c>
      <c r="N4" s="43">
        <v>54692</v>
      </c>
      <c r="O4" s="43">
        <v>47002.900597184416</v>
      </c>
      <c r="P4" s="43">
        <v>68678.80257874046</v>
      </c>
      <c r="Q4" s="43">
        <v>53863</v>
      </c>
      <c r="R4" s="43"/>
      <c r="S4" s="43"/>
      <c r="T4" s="43"/>
      <c r="U4" s="42"/>
      <c r="X4" s="85"/>
      <c r="Y4" s="85"/>
      <c r="Z4" s="85"/>
      <c r="AA4" s="85"/>
    </row>
    <row r="5" spans="1:21" ht="12.75">
      <c r="A5" s="67" t="s">
        <v>1</v>
      </c>
      <c r="B5" s="68"/>
      <c r="C5" s="198">
        <f>E5-'[1]Italy'!C5</f>
        <v>0</v>
      </c>
      <c r="D5" s="43">
        <f>F5-'[1]Italy'!D5</f>
        <v>0</v>
      </c>
      <c r="E5" s="69"/>
      <c r="F5" s="83"/>
      <c r="G5" s="43"/>
      <c r="H5" s="43">
        <v>0</v>
      </c>
      <c r="I5" s="43">
        <v>1</v>
      </c>
      <c r="J5" s="43">
        <v>0</v>
      </c>
      <c r="K5" s="43">
        <v>3</v>
      </c>
      <c r="L5" s="43">
        <v>3</v>
      </c>
      <c r="M5" s="43">
        <v>55</v>
      </c>
      <c r="N5" s="43">
        <v>74</v>
      </c>
      <c r="O5" s="43">
        <v>27.08291504564714</v>
      </c>
      <c r="P5" s="43">
        <v>135.32867743066853</v>
      </c>
      <c r="Q5" s="43">
        <v>51</v>
      </c>
      <c r="R5" s="43">
        <v>131.06</v>
      </c>
      <c r="S5" s="43">
        <v>193</v>
      </c>
      <c r="T5" s="43">
        <v>142.7</v>
      </c>
      <c r="U5" s="42">
        <v>445</v>
      </c>
    </row>
    <row r="6" spans="1:21" ht="12.75">
      <c r="A6" s="67" t="s">
        <v>11</v>
      </c>
      <c r="B6" s="68">
        <f>(E6-F6)/F6</f>
        <v>0.04544537182529851</v>
      </c>
      <c r="C6" s="198">
        <f>E6-'[1]Italy'!C6</f>
        <v>-9006.854726679652</v>
      </c>
      <c r="D6" s="43">
        <f>F6-'[1]Italy'!D6</f>
        <v>19813.095044555535</v>
      </c>
      <c r="E6" s="69">
        <v>109709.03731934683</v>
      </c>
      <c r="F6" s="83">
        <v>104940</v>
      </c>
      <c r="G6" s="43">
        <v>113461.572</v>
      </c>
      <c r="H6" s="43">
        <v>106451</v>
      </c>
      <c r="I6" s="43">
        <v>121634</v>
      </c>
      <c r="J6" s="43">
        <v>102338</v>
      </c>
      <c r="K6" s="43">
        <v>123523.6</v>
      </c>
      <c r="L6" s="43">
        <v>141357.37000000002</v>
      </c>
      <c r="M6" s="43">
        <v>138469</v>
      </c>
      <c r="N6" s="43">
        <v>127792</v>
      </c>
      <c r="O6" s="43">
        <v>86538.94120919117</v>
      </c>
      <c r="P6" s="43">
        <v>117414.16784279092</v>
      </c>
      <c r="Q6" s="43">
        <v>114824</v>
      </c>
      <c r="R6" s="43">
        <v>108514.8</v>
      </c>
      <c r="S6" s="43">
        <v>95016.1</v>
      </c>
      <c r="T6" s="43">
        <v>92063.96</v>
      </c>
      <c r="U6" s="42">
        <v>70484</v>
      </c>
    </row>
    <row r="7" spans="1:21" ht="12.75">
      <c r="A7" s="67" t="s">
        <v>8</v>
      </c>
      <c r="B7" s="68">
        <f>(E7-F7)/F7</f>
        <v>-0.18116436384282203</v>
      </c>
      <c r="C7" s="198">
        <f>E7-'[1]Italy'!C7</f>
        <v>-51355.85719534854</v>
      </c>
      <c r="D7" s="43">
        <f>F7-'[1]Italy'!D7</f>
        <v>-48382.36256449259</v>
      </c>
      <c r="E7" s="69">
        <v>127224.65098840176</v>
      </c>
      <c r="F7" s="83">
        <v>155372.63569215324</v>
      </c>
      <c r="G7" s="43">
        <v>138420.76799999998</v>
      </c>
      <c r="H7" s="43">
        <v>140710</v>
      </c>
      <c r="I7" s="43">
        <v>139775</v>
      </c>
      <c r="J7" s="43">
        <v>89903</v>
      </c>
      <c r="K7" s="43">
        <v>110398</v>
      </c>
      <c r="L7" s="43">
        <v>103021.175</v>
      </c>
      <c r="M7" s="43">
        <v>108251</v>
      </c>
      <c r="N7" s="43">
        <v>101080</v>
      </c>
      <c r="O7" s="43">
        <v>78928.64208136432</v>
      </c>
      <c r="P7" s="43">
        <v>110641.71936337168</v>
      </c>
      <c r="Q7" s="43">
        <v>120664</v>
      </c>
      <c r="R7" s="43">
        <v>110075.79</v>
      </c>
      <c r="S7" s="43">
        <v>103517</v>
      </c>
      <c r="T7" s="43">
        <v>89692.35</v>
      </c>
      <c r="U7" s="42">
        <v>71921</v>
      </c>
    </row>
    <row r="8" spans="1:21" ht="12.75">
      <c r="A8" s="67" t="s">
        <v>13</v>
      </c>
      <c r="B8" s="68"/>
      <c r="C8" s="198">
        <f>E8-'[1]Italy'!C8</f>
        <v>0</v>
      </c>
      <c r="D8" s="43">
        <f>F8-'[1]Italy'!D8</f>
        <v>0</v>
      </c>
      <c r="E8" s="69"/>
      <c r="F8" s="83"/>
      <c r="G8" s="43"/>
      <c r="H8" s="43">
        <v>0</v>
      </c>
      <c r="I8" s="43">
        <v>6</v>
      </c>
      <c r="J8" s="43">
        <v>18</v>
      </c>
      <c r="K8" s="43">
        <v>30</v>
      </c>
      <c r="L8" s="43">
        <v>49</v>
      </c>
      <c r="M8" s="43">
        <v>35</v>
      </c>
      <c r="N8" s="43">
        <v>65</v>
      </c>
      <c r="O8" s="43">
        <v>65.19961029507645</v>
      </c>
      <c r="P8" s="43">
        <v>46.111993791190756</v>
      </c>
      <c r="Q8" s="43">
        <v>63</v>
      </c>
      <c r="R8" s="43">
        <v>229.75</v>
      </c>
      <c r="S8" s="43">
        <v>369</v>
      </c>
      <c r="T8" s="43">
        <v>374.3</v>
      </c>
      <c r="U8" s="42">
        <v>479</v>
      </c>
    </row>
    <row r="9" spans="1:21" ht="12.75">
      <c r="A9" s="107" t="s">
        <v>2</v>
      </c>
      <c r="B9" s="68">
        <f>(E9-F9)/F9</f>
        <v>-0.22588083159320063</v>
      </c>
      <c r="C9" s="198">
        <f>E9-'[1]Italy'!C9</f>
        <v>-47928.21681281802</v>
      </c>
      <c r="D9" s="43">
        <f>F9-'[1]Italy'!D9</f>
        <v>-100412.73007921898</v>
      </c>
      <c r="E9" s="69">
        <v>426368.5049260292</v>
      </c>
      <c r="F9" s="83">
        <v>550778.901139382</v>
      </c>
      <c r="G9" s="43">
        <v>515835.24600000004</v>
      </c>
      <c r="H9" s="43">
        <v>575590</v>
      </c>
      <c r="I9" s="108">
        <v>608049</v>
      </c>
      <c r="J9" s="108">
        <v>364616</v>
      </c>
      <c r="K9" s="43">
        <v>696382.6</v>
      </c>
      <c r="L9" s="108">
        <v>704665.375</v>
      </c>
      <c r="M9" s="108">
        <v>750628</v>
      </c>
      <c r="N9" s="108">
        <v>665371</v>
      </c>
      <c r="O9" s="108">
        <v>657522.0206910041</v>
      </c>
      <c r="P9" s="108">
        <v>707460.2330909249</v>
      </c>
      <c r="Q9" s="108">
        <v>704476</v>
      </c>
      <c r="R9" s="108">
        <v>723097.29</v>
      </c>
      <c r="S9" s="108">
        <v>726466.1</v>
      </c>
      <c r="T9" s="43">
        <v>680262.42</v>
      </c>
      <c r="U9" s="42">
        <v>608714</v>
      </c>
    </row>
    <row r="10" spans="1:21" ht="12.75">
      <c r="A10" s="107" t="s">
        <v>16</v>
      </c>
      <c r="B10" s="68">
        <f>(E10-F10)/F10</f>
        <v>0.4032276815133819</v>
      </c>
      <c r="C10" s="198">
        <f>E10-'[1]Italy'!C10</f>
        <v>3024.5239765447914</v>
      </c>
      <c r="D10" s="43">
        <f>F10-'[1]Italy'!D10</f>
        <v>-6921.805909880801</v>
      </c>
      <c r="E10" s="69">
        <v>115994.30256164046</v>
      </c>
      <c r="F10" s="83">
        <v>82662.4959654021</v>
      </c>
      <c r="G10" s="43">
        <v>108946.098</v>
      </c>
      <c r="H10" s="43">
        <v>74984</v>
      </c>
      <c r="I10" s="108">
        <v>101831</v>
      </c>
      <c r="J10" s="108">
        <v>99546</v>
      </c>
      <c r="K10" s="43">
        <v>92276.8</v>
      </c>
      <c r="L10" s="108">
        <v>103776.56</v>
      </c>
      <c r="M10" s="108">
        <v>116590</v>
      </c>
      <c r="N10" s="108">
        <v>95114</v>
      </c>
      <c r="O10" s="108">
        <v>64573.694036243716</v>
      </c>
      <c r="P10" s="108">
        <v>76861.67660738155</v>
      </c>
      <c r="Q10" s="108">
        <v>76358</v>
      </c>
      <c r="R10" s="108">
        <v>77055.37</v>
      </c>
      <c r="S10" s="108">
        <v>70687.1</v>
      </c>
      <c r="T10" s="43">
        <v>61534.895000000004</v>
      </c>
      <c r="U10" s="42">
        <v>59021</v>
      </c>
    </row>
    <row r="11" spans="1:21" ht="12.75">
      <c r="A11" s="107" t="s">
        <v>9</v>
      </c>
      <c r="B11" s="68"/>
      <c r="C11" s="198">
        <f>E11-'[1]Italy'!C11</f>
        <v>0</v>
      </c>
      <c r="D11" s="43">
        <f>F11-'[1]Italy'!D11</f>
        <v>0</v>
      </c>
      <c r="E11" s="69"/>
      <c r="F11" s="83"/>
      <c r="G11" s="43"/>
      <c r="H11" s="43">
        <v>0</v>
      </c>
      <c r="I11" s="108">
        <v>631</v>
      </c>
      <c r="J11" s="108">
        <v>815</v>
      </c>
      <c r="K11" s="43">
        <v>667</v>
      </c>
      <c r="L11" s="108">
        <v>1442.3</v>
      </c>
      <c r="M11" s="108">
        <v>670</v>
      </c>
      <c r="N11" s="108">
        <v>2365</v>
      </c>
      <c r="O11" s="108">
        <v>2054.2892597587165</v>
      </c>
      <c r="P11" s="108">
        <v>2087.068936375199</v>
      </c>
      <c r="Q11" s="108">
        <v>2990</v>
      </c>
      <c r="R11" s="108">
        <v>3016.9</v>
      </c>
      <c r="S11" s="108">
        <v>3432</v>
      </c>
      <c r="T11" s="43">
        <v>3620.3</v>
      </c>
      <c r="U11" s="42">
        <v>4030</v>
      </c>
    </row>
    <row r="12" spans="1:21" ht="12.75">
      <c r="A12" s="107" t="s">
        <v>26</v>
      </c>
      <c r="B12" s="68">
        <f>(E12-F12)/F12</f>
        <v>-0.46444640737571424</v>
      </c>
      <c r="C12" s="198">
        <f>E12-'[1]Italy'!C12</f>
        <v>-64.94999999999982</v>
      </c>
      <c r="D12" s="43">
        <f>F12-'[1]Italy'!D12</f>
        <v>-335.2999999999997</v>
      </c>
      <c r="E12" s="69">
        <v>1940.15</v>
      </c>
      <c r="F12" s="83">
        <v>3622.7000000000003</v>
      </c>
      <c r="G12" s="43">
        <v>2129.9</v>
      </c>
      <c r="H12" s="43">
        <v>4284</v>
      </c>
      <c r="I12" s="108">
        <v>4800</v>
      </c>
      <c r="J12" s="108">
        <v>3328</v>
      </c>
      <c r="K12" s="43">
        <v>4565.8</v>
      </c>
      <c r="L12" s="108">
        <v>8203</v>
      </c>
      <c r="M12" s="108">
        <v>8225</v>
      </c>
      <c r="N12" s="108">
        <v>10776</v>
      </c>
      <c r="O12" s="108">
        <v>7852.039221382437</v>
      </c>
      <c r="P12" s="108">
        <v>12774.024714807474</v>
      </c>
      <c r="Q12" s="108">
        <v>12150</v>
      </c>
      <c r="R12" s="108">
        <v>18229</v>
      </c>
      <c r="S12" s="108">
        <v>18980</v>
      </c>
      <c r="T12" s="43">
        <v>21979.2</v>
      </c>
      <c r="U12" s="42">
        <v>21795</v>
      </c>
    </row>
    <row r="13" spans="1:21" ht="12.75">
      <c r="A13" s="107" t="s">
        <v>49</v>
      </c>
      <c r="B13" s="68"/>
      <c r="C13" s="198">
        <f>E13-'[1]Italy'!C13</f>
        <v>0</v>
      </c>
      <c r="D13" s="43">
        <f>F13-'[1]Italy'!D13</f>
        <v>0</v>
      </c>
      <c r="E13" s="69"/>
      <c r="F13" s="83"/>
      <c r="G13" s="43"/>
      <c r="H13" s="43">
        <v>0</v>
      </c>
      <c r="I13" s="108">
        <v>0</v>
      </c>
      <c r="J13" s="108">
        <v>0</v>
      </c>
      <c r="K13" s="43">
        <v>0</v>
      </c>
      <c r="L13" s="108">
        <v>7</v>
      </c>
      <c r="M13" s="108">
        <v>8</v>
      </c>
      <c r="N13" s="108">
        <v>0</v>
      </c>
      <c r="O13" s="108">
        <v>1.0030709276165608</v>
      </c>
      <c r="P13" s="108">
        <v>7.017042533442072</v>
      </c>
      <c r="Q13" s="108">
        <v>1</v>
      </c>
      <c r="R13" s="108">
        <v>4.62</v>
      </c>
      <c r="S13" s="108">
        <v>10</v>
      </c>
      <c r="T13" s="43">
        <v>32</v>
      </c>
      <c r="U13" s="42">
        <v>87</v>
      </c>
    </row>
    <row r="14" spans="1:21" ht="12.75">
      <c r="A14" s="107" t="s">
        <v>124</v>
      </c>
      <c r="B14" s="68">
        <f>(E14-F14)/F14</f>
        <v>-0.05199115795483039</v>
      </c>
      <c r="C14" s="198">
        <f>E14-'[1]Italy'!C14</f>
        <v>-2748.5381151226775</v>
      </c>
      <c r="D14" s="43">
        <f>F14-'[1]Italy'!D14</f>
        <v>-1283.1139963982096</v>
      </c>
      <c r="E14" s="69">
        <v>15639.734384752546</v>
      </c>
      <c r="F14" s="83">
        <v>16497.456237868468</v>
      </c>
      <c r="G14" s="43">
        <v>20586.154000000002</v>
      </c>
      <c r="H14" s="43">
        <v>22074</v>
      </c>
      <c r="I14" s="108">
        <v>23355</v>
      </c>
      <c r="J14" s="108">
        <v>18463</v>
      </c>
      <c r="K14" s="43">
        <v>23139.2</v>
      </c>
      <c r="L14" s="108">
        <v>25805.7</v>
      </c>
      <c r="M14" s="108">
        <v>31824</v>
      </c>
      <c r="N14" s="108">
        <v>25616</v>
      </c>
      <c r="O14" s="108">
        <v>26016.650649590734</v>
      </c>
      <c r="P14" s="108">
        <v>17180.727425809095</v>
      </c>
      <c r="Q14" s="108">
        <v>46392</v>
      </c>
      <c r="R14" s="108">
        <v>35343.76</v>
      </c>
      <c r="S14" s="108">
        <v>51007.3</v>
      </c>
      <c r="T14" s="43">
        <v>46673.095</v>
      </c>
      <c r="U14" s="42">
        <v>35281</v>
      </c>
    </row>
    <row r="15" spans="1:21" ht="12.75">
      <c r="A15" s="107" t="s">
        <v>12</v>
      </c>
      <c r="B15" s="68">
        <f>(E15-F15)/F15</f>
        <v>-0.005423013367367457</v>
      </c>
      <c r="C15" s="198">
        <f>E15-'[1]Italy'!C15</f>
        <v>2383.368999999999</v>
      </c>
      <c r="D15" s="43">
        <f>F15-'[1]Italy'!D15</f>
        <v>-952.3549999999959</v>
      </c>
      <c r="E15" s="69">
        <v>37015.669</v>
      </c>
      <c r="F15" s="83">
        <v>37217.5</v>
      </c>
      <c r="G15" s="43">
        <v>38168</v>
      </c>
      <c r="H15" s="43">
        <v>32404</v>
      </c>
      <c r="I15" s="108">
        <v>28005</v>
      </c>
      <c r="J15" s="108"/>
      <c r="K15" s="43"/>
      <c r="L15" s="108"/>
      <c r="M15" s="108"/>
      <c r="N15" s="108"/>
      <c r="O15" s="108"/>
      <c r="P15" s="108"/>
      <c r="Q15" s="108"/>
      <c r="R15" s="108"/>
      <c r="S15" s="108"/>
      <c r="T15" s="43"/>
      <c r="U15" s="42"/>
    </row>
    <row r="16" spans="1:21" ht="12.75">
      <c r="A16" s="107" t="s">
        <v>18</v>
      </c>
      <c r="B16" s="68">
        <f>(E16-F16)/F16</f>
        <v>0.16672776475872153</v>
      </c>
      <c r="C16" s="198">
        <f>E16-'[1]Italy'!C16</f>
        <v>-16620.40171344398</v>
      </c>
      <c r="D16" s="43">
        <f>F16-'[1]Italy'!D16</f>
        <v>-27593.33024860584</v>
      </c>
      <c r="E16" s="69">
        <v>151718.500540624</v>
      </c>
      <c r="F16" s="83">
        <v>130037.61899160707</v>
      </c>
      <c r="G16" s="43">
        <v>165623.70200000002</v>
      </c>
      <c r="H16" s="43">
        <v>150707</v>
      </c>
      <c r="I16" s="108">
        <v>188267</v>
      </c>
      <c r="J16" s="108">
        <v>117439</v>
      </c>
      <c r="K16" s="43">
        <v>171434.1</v>
      </c>
      <c r="L16" s="108">
        <v>175647.33000000002</v>
      </c>
      <c r="M16" s="108">
        <v>174233</v>
      </c>
      <c r="N16" s="108">
        <v>156991</v>
      </c>
      <c r="O16" s="108">
        <v>120464.80612303848</v>
      </c>
      <c r="P16" s="108">
        <v>152763.02082232918</v>
      </c>
      <c r="Q16" s="108">
        <v>165519</v>
      </c>
      <c r="R16" s="108">
        <v>172472.8</v>
      </c>
      <c r="S16" s="108">
        <v>145910.025</v>
      </c>
      <c r="T16" s="43">
        <v>137632.775</v>
      </c>
      <c r="U16" s="42">
        <v>154828</v>
      </c>
    </row>
    <row r="17" spans="1:21" ht="12.75">
      <c r="A17" s="107" t="s">
        <v>144</v>
      </c>
      <c r="B17" s="68">
        <f>(E17-F17)/F17</f>
        <v>0.46087518727659393</v>
      </c>
      <c r="C17" s="198">
        <f>E17-'[1]Italy'!C17</f>
        <v>-1522.2329999999965</v>
      </c>
      <c r="D17" s="43">
        <f>F17-'[1]Italy'!D17</f>
        <v>-2028.4490000000023</v>
      </c>
      <c r="E17" s="69">
        <v>23472.092</v>
      </c>
      <c r="F17" s="83">
        <v>16067.143999999998</v>
      </c>
      <c r="G17" s="43">
        <v>25733.749</v>
      </c>
      <c r="H17" s="43">
        <v>15426</v>
      </c>
      <c r="I17" s="108">
        <v>25909</v>
      </c>
      <c r="J17" s="108">
        <v>4722</v>
      </c>
      <c r="K17" s="43">
        <v>21797.199999999997</v>
      </c>
      <c r="L17" s="108">
        <v>20580.2</v>
      </c>
      <c r="M17" s="108">
        <v>23273</v>
      </c>
      <c r="N17" s="108">
        <v>39855</v>
      </c>
      <c r="O17" s="108"/>
      <c r="P17" s="108">
        <v>17213.807769181036</v>
      </c>
      <c r="Q17" s="108">
        <v>18316</v>
      </c>
      <c r="R17" s="108">
        <v>15432</v>
      </c>
      <c r="S17" s="108">
        <v>13671</v>
      </c>
      <c r="T17" s="43">
        <v>16113</v>
      </c>
      <c r="U17" s="42">
        <v>8531</v>
      </c>
    </row>
    <row r="18" spans="1:21" ht="12.75">
      <c r="A18" s="107" t="s">
        <v>19</v>
      </c>
      <c r="B18" s="68"/>
      <c r="C18" s="198">
        <f>E18-'[1]Italy'!C18</f>
        <v>0</v>
      </c>
      <c r="D18" s="43">
        <f>F18-'[1]Italy'!D18</f>
        <v>0</v>
      </c>
      <c r="E18" s="69"/>
      <c r="F18" s="83"/>
      <c r="G18" s="43"/>
      <c r="H18" s="43">
        <v>0</v>
      </c>
      <c r="I18" s="108">
        <v>4177</v>
      </c>
      <c r="J18" s="108">
        <v>4407</v>
      </c>
      <c r="K18" s="43">
        <v>8865.6</v>
      </c>
      <c r="L18" s="108">
        <v>8597.4</v>
      </c>
      <c r="M18" s="108">
        <v>10762</v>
      </c>
      <c r="N18" s="108">
        <v>7130</v>
      </c>
      <c r="O18" s="108">
        <v>3342.2323308183804</v>
      </c>
      <c r="P18" s="108">
        <v>8859.517415794433</v>
      </c>
      <c r="Q18" s="108">
        <v>8884</v>
      </c>
      <c r="R18" s="108">
        <v>5689.08</v>
      </c>
      <c r="S18" s="108">
        <v>7379.2</v>
      </c>
      <c r="T18" s="43">
        <v>5219.8</v>
      </c>
      <c r="U18" s="42">
        <v>10514</v>
      </c>
    </row>
    <row r="19" spans="1:21" ht="13.5" thickBot="1">
      <c r="A19" s="110" t="s">
        <v>58</v>
      </c>
      <c r="B19" s="68">
        <f>(E19-F19)/F19</f>
        <v>0.3536695271855138</v>
      </c>
      <c r="C19" s="199">
        <f>E19-'[1]Italy'!C19</f>
        <v>-2684.9338478694845</v>
      </c>
      <c r="D19" s="76">
        <f>F19-'[1]Italy'!D19</f>
        <v>-13131.93476971527</v>
      </c>
      <c r="E19" s="75">
        <v>164043.8417120685</v>
      </c>
      <c r="F19" s="76">
        <v>121184.55680474744</v>
      </c>
      <c r="G19" s="76">
        <v>90353</v>
      </c>
      <c r="H19" s="76">
        <f>17747+63119</f>
        <v>80866</v>
      </c>
      <c r="I19" s="111">
        <v>80420</v>
      </c>
      <c r="J19" s="111">
        <v>55371</v>
      </c>
      <c r="K19" s="76">
        <v>71355.3</v>
      </c>
      <c r="L19" s="111">
        <v>55375.9</v>
      </c>
      <c r="M19" s="111">
        <v>60736</v>
      </c>
      <c r="N19" s="111">
        <v>54685</v>
      </c>
      <c r="O19" s="111">
        <v>30875.526222965356</v>
      </c>
      <c r="P19" s="111">
        <v>35583.42268708475</v>
      </c>
      <c r="Q19" s="111">
        <v>28610</v>
      </c>
      <c r="R19" s="111">
        <v>97156.56</v>
      </c>
      <c r="S19" s="111">
        <v>70629.5</v>
      </c>
      <c r="T19" s="76">
        <v>44555.729999999996</v>
      </c>
      <c r="U19" s="48">
        <v>53273</v>
      </c>
    </row>
    <row r="20" spans="1:21" ht="13.5" thickBot="1">
      <c r="A20" s="112" t="s">
        <v>22</v>
      </c>
      <c r="B20" s="50">
        <f>(E20-F20)/F20</f>
        <v>-0.023110888210930415</v>
      </c>
      <c r="C20" s="200">
        <f>E20-'[1]Italy'!C20</f>
        <v>-122681.67143473774</v>
      </c>
      <c r="D20" s="80">
        <f>F20-'[1]Italy'!D20</f>
        <v>-160420.3609385551</v>
      </c>
      <c r="E20" s="79">
        <f>SUM(E2:E19)</f>
        <v>1326182.1164328633</v>
      </c>
      <c r="F20" s="80">
        <f>SUM(F2:F19)</f>
        <v>1357556.4518311606</v>
      </c>
      <c r="G20" s="80">
        <f>SUM(G2:G19)</f>
        <v>1364134.995</v>
      </c>
      <c r="H20" s="80">
        <f>SUM(H2:H19)</f>
        <v>1349020</v>
      </c>
      <c r="I20" s="80">
        <v>1491242</v>
      </c>
      <c r="J20" s="80">
        <v>1007499</v>
      </c>
      <c r="K20" s="80">
        <f>SUM(K2:K19)</f>
        <v>1487735.7000000002</v>
      </c>
      <c r="L20" s="80">
        <f>SUM(L2:L19)</f>
        <v>1494682.91</v>
      </c>
      <c r="M20" s="80">
        <f>SUM(M2:M19)</f>
        <v>1601128</v>
      </c>
      <c r="N20" s="80">
        <f>SUM(N2:N19)</f>
        <v>1407093</v>
      </c>
      <c r="O20" s="80">
        <f>SUM(O2:O19)</f>
        <v>1215407</v>
      </c>
      <c r="P20" s="80">
        <f aca="true" t="shared" si="0" ref="P20:U20">SUM(P2:P19)</f>
        <v>1423375</v>
      </c>
      <c r="Q20" s="80">
        <f t="shared" si="0"/>
        <v>1442097</v>
      </c>
      <c r="R20" s="80">
        <f t="shared" si="0"/>
        <v>1453791.7800000003</v>
      </c>
      <c r="S20" s="80">
        <f t="shared" si="0"/>
        <v>1399479.525</v>
      </c>
      <c r="T20" s="80">
        <f t="shared" si="0"/>
        <v>1298109.025</v>
      </c>
      <c r="U20" s="103">
        <f t="shared" si="0"/>
        <v>1197785</v>
      </c>
    </row>
    <row r="21" spans="2:19" s="84" customFormat="1" ht="12.75">
      <c r="B21" s="82"/>
      <c r="C21" s="82"/>
      <c r="D21" s="82"/>
      <c r="E21" s="82"/>
      <c r="F21" s="82"/>
      <c r="G21" s="82"/>
      <c r="H21" s="82"/>
      <c r="I21" s="65"/>
      <c r="J21" s="65"/>
      <c r="K21" s="82"/>
      <c r="L21" s="65"/>
      <c r="M21" s="65"/>
      <c r="N21" s="65"/>
      <c r="O21" s="65"/>
      <c r="P21" s="65"/>
      <c r="Q21" s="65"/>
      <c r="R21" s="65"/>
      <c r="S21" s="65"/>
    </row>
    <row r="22" spans="2:19" s="84" customFormat="1" ht="13.5" thickBot="1">
      <c r="B22" s="82"/>
      <c r="C22" s="82"/>
      <c r="D22" s="82"/>
      <c r="E22" s="82"/>
      <c r="F22" s="82"/>
      <c r="G22" s="82"/>
      <c r="H22" s="82"/>
      <c r="I22" s="65"/>
      <c r="J22" s="65"/>
      <c r="K22" s="82"/>
      <c r="L22" s="65"/>
      <c r="M22" s="65"/>
      <c r="N22" s="65"/>
      <c r="O22" s="65"/>
      <c r="P22" s="65"/>
      <c r="Q22" s="65"/>
      <c r="R22" s="65"/>
      <c r="S22" s="65"/>
    </row>
    <row r="23" spans="1:21" s="59" customFormat="1" ht="13.5" thickBot="1">
      <c r="A23" s="34" t="s">
        <v>24</v>
      </c>
      <c r="B23" s="17" t="s">
        <v>182</v>
      </c>
      <c r="C23" s="174" t="s">
        <v>183</v>
      </c>
      <c r="D23" s="55" t="s">
        <v>177</v>
      </c>
      <c r="E23" s="31">
        <v>44896</v>
      </c>
      <c r="F23" s="18">
        <v>44531</v>
      </c>
      <c r="G23" s="18">
        <v>44166</v>
      </c>
      <c r="H23" s="18">
        <v>43800</v>
      </c>
      <c r="I23" s="57">
        <v>43435</v>
      </c>
      <c r="J23" s="57">
        <v>43070</v>
      </c>
      <c r="K23" s="18">
        <v>42705</v>
      </c>
      <c r="L23" s="57">
        <f>L1</f>
        <v>42339</v>
      </c>
      <c r="M23" s="57">
        <f>M1</f>
        <v>41974</v>
      </c>
      <c r="N23" s="57">
        <v>41609</v>
      </c>
      <c r="O23" s="57">
        <v>41244</v>
      </c>
      <c r="P23" s="57">
        <v>40878</v>
      </c>
      <c r="Q23" s="57">
        <v>40513</v>
      </c>
      <c r="R23" s="57">
        <v>40148</v>
      </c>
      <c r="S23" s="57">
        <v>39783</v>
      </c>
      <c r="T23" s="35">
        <v>39417</v>
      </c>
      <c r="U23" s="98">
        <v>39052</v>
      </c>
    </row>
    <row r="24" spans="1:21" ht="12.75">
      <c r="A24" s="67" t="s">
        <v>99</v>
      </c>
      <c r="B24" s="68">
        <f aca="true" t="shared" si="1" ref="B24:B29">(E24-F24)/F24</f>
        <v>2.9607224596662314</v>
      </c>
      <c r="C24" s="198">
        <f>E24-'[1]Italy'!C24</f>
        <v>-15835.978037137087</v>
      </c>
      <c r="D24" s="43">
        <f>F24-'[1]Italy'!D24</f>
        <v>-4855.577717206157</v>
      </c>
      <c r="E24" s="69">
        <v>73300.35772443992</v>
      </c>
      <c r="F24" s="43">
        <v>18506.814974007775</v>
      </c>
      <c r="G24" s="43">
        <v>123603.95069820629</v>
      </c>
      <c r="H24" s="83">
        <v>57060.605919378584</v>
      </c>
      <c r="I24" s="43">
        <v>156648.07633423616</v>
      </c>
      <c r="J24" s="43">
        <v>188252</v>
      </c>
      <c r="K24" s="43">
        <v>160810.63274927204</v>
      </c>
      <c r="L24" s="43">
        <v>190239.85244829967</v>
      </c>
      <c r="M24" s="43">
        <v>195211.585597096</v>
      </c>
      <c r="N24" s="43">
        <v>220635.276770521</v>
      </c>
      <c r="O24" s="43">
        <v>152771</v>
      </c>
      <c r="P24" s="43">
        <v>263695</v>
      </c>
      <c r="Q24" s="43">
        <v>102895</v>
      </c>
      <c r="R24" s="43">
        <v>137083</v>
      </c>
      <c r="S24" s="43">
        <v>119837</v>
      </c>
      <c r="T24" s="43">
        <v>130556</v>
      </c>
      <c r="U24" s="42">
        <v>156944</v>
      </c>
    </row>
    <row r="25" spans="1:21" ht="12.75">
      <c r="A25" s="67" t="s">
        <v>6</v>
      </c>
      <c r="B25" s="68">
        <f t="shared" si="1"/>
        <v>0.45851683045060143</v>
      </c>
      <c r="C25" s="198">
        <f>E25-'[1]Italy'!C25</f>
        <v>-369.55052161897765</v>
      </c>
      <c r="D25" s="43">
        <f>F25-'[1]Italy'!D25</f>
        <v>-174.8525383012593</v>
      </c>
      <c r="E25" s="69">
        <v>11768.211386884317</v>
      </c>
      <c r="F25" s="43">
        <v>8068.6154188900155</v>
      </c>
      <c r="G25" s="43">
        <v>23629.963095953943</v>
      </c>
      <c r="H25" s="83">
        <v>11603.439199708177</v>
      </c>
      <c r="I25" s="43">
        <v>31351.567449123257</v>
      </c>
      <c r="J25" s="43">
        <v>34980</v>
      </c>
      <c r="K25" s="43">
        <v>37568</v>
      </c>
      <c r="L25" s="43">
        <v>43074</v>
      </c>
      <c r="M25" s="43">
        <v>47439.1616980771</v>
      </c>
      <c r="N25" s="43">
        <v>53942</v>
      </c>
      <c r="O25" s="43">
        <v>54049</v>
      </c>
      <c r="P25" s="43">
        <v>88092</v>
      </c>
      <c r="Q25" s="43">
        <v>50684</v>
      </c>
      <c r="R25" s="43">
        <v>72113</v>
      </c>
      <c r="S25" s="43">
        <v>62683</v>
      </c>
      <c r="T25" s="43">
        <v>70702</v>
      </c>
      <c r="U25" s="42">
        <v>71184</v>
      </c>
    </row>
    <row r="26" spans="1:24" ht="12.75">
      <c r="A26" s="67" t="s">
        <v>125</v>
      </c>
      <c r="B26" s="68">
        <f t="shared" si="1"/>
        <v>0.5936922679447738</v>
      </c>
      <c r="C26" s="198">
        <f>E26-'[1]Italy'!C26</f>
        <v>-119.78926883545682</v>
      </c>
      <c r="D26" s="43">
        <f>F26-'[1]Italy'!D26</f>
        <v>-238.1417418597207</v>
      </c>
      <c r="E26" s="69">
        <v>4657.168544560857</v>
      </c>
      <c r="F26" s="43">
        <v>2922.2508248513645</v>
      </c>
      <c r="G26" s="43">
        <v>6945.585465607832</v>
      </c>
      <c r="H26" s="83">
        <v>4058.542484624598</v>
      </c>
      <c r="I26" s="43">
        <v>7751.442501527364</v>
      </c>
      <c r="J26" s="43">
        <v>8708</v>
      </c>
      <c r="K26" s="43">
        <v>7450.265755905207</v>
      </c>
      <c r="L26" s="43">
        <v>11730.194743571272</v>
      </c>
      <c r="M26" s="43">
        <v>12187.154609017</v>
      </c>
      <c r="N26" s="43">
        <v>18920.0821020142</v>
      </c>
      <c r="O26" s="43">
        <v>13590</v>
      </c>
      <c r="P26" s="43">
        <v>22869</v>
      </c>
      <c r="Q26" s="43">
        <v>20466</v>
      </c>
      <c r="R26" s="43">
        <v>23063</v>
      </c>
      <c r="S26" s="43">
        <v>18319</v>
      </c>
      <c r="T26" s="43">
        <v>21142</v>
      </c>
      <c r="U26" s="42">
        <v>33157</v>
      </c>
      <c r="X26" s="32"/>
    </row>
    <row r="27" spans="1:21" ht="12.75">
      <c r="A27" s="67" t="s">
        <v>29</v>
      </c>
      <c r="B27" s="68">
        <f t="shared" si="1"/>
        <v>2.149374997480625</v>
      </c>
      <c r="C27" s="198">
        <f>E27-'[1]Italy'!C27</f>
        <v>-549.0320884234407</v>
      </c>
      <c r="D27" s="43">
        <f>F27-'[1]Italy'!D27</f>
        <v>-279.00495547823994</v>
      </c>
      <c r="E27" s="69">
        <v>16195.59880011447</v>
      </c>
      <c r="F27" s="43">
        <v>5142.480274044948</v>
      </c>
      <c r="G27" s="43">
        <v>25656.28995011397</v>
      </c>
      <c r="H27" s="83">
        <v>8438.316586174224</v>
      </c>
      <c r="I27" s="43">
        <v>24119.809259286663</v>
      </c>
      <c r="J27" s="43">
        <v>25577</v>
      </c>
      <c r="K27" s="71">
        <v>21392</v>
      </c>
      <c r="L27" s="43">
        <v>30103</v>
      </c>
      <c r="M27" s="43">
        <v>23589.152289199</v>
      </c>
      <c r="N27" s="43">
        <v>39673.9851722429</v>
      </c>
      <c r="O27" s="43">
        <v>24182</v>
      </c>
      <c r="P27" s="43">
        <v>41960</v>
      </c>
      <c r="Q27" s="43">
        <v>21370</v>
      </c>
      <c r="R27" s="43">
        <v>38019</v>
      </c>
      <c r="S27" s="43">
        <v>17509</v>
      </c>
      <c r="T27" s="43">
        <v>35267</v>
      </c>
      <c r="U27" s="42"/>
    </row>
    <row r="28" spans="1:21" ht="13.5" thickBot="1">
      <c r="A28" s="73" t="s">
        <v>58</v>
      </c>
      <c r="B28" s="68">
        <f t="shared" si="1"/>
        <v>0.7094760388315274</v>
      </c>
      <c r="C28" s="198">
        <f>E28-'[1]Italy'!C28</f>
        <v>-22603.951618744803</v>
      </c>
      <c r="D28" s="43">
        <f>F28-'[1]Italy'!D28</f>
        <v>-9213.498864560843</v>
      </c>
      <c r="E28" s="69">
        <v>35571.572294724756</v>
      </c>
      <c r="F28" s="43">
        <v>20808.464983831465</v>
      </c>
      <c r="G28" s="43">
        <v>41101.11107631511</v>
      </c>
      <c r="H28" s="83">
        <v>27330.83021723719</v>
      </c>
      <c r="I28" s="43">
        <v>35910.50096312245</v>
      </c>
      <c r="J28" s="43">
        <v>28481</v>
      </c>
      <c r="K28" s="106">
        <v>27099.44529777728</v>
      </c>
      <c r="L28" s="76">
        <v>41395.14041597588</v>
      </c>
      <c r="M28" s="76">
        <v>35516.251494857366</v>
      </c>
      <c r="N28" s="76">
        <v>68374.4452128059</v>
      </c>
      <c r="O28" s="76">
        <v>40624</v>
      </c>
      <c r="P28" s="76">
        <v>54938</v>
      </c>
      <c r="Q28" s="76">
        <v>21553</v>
      </c>
      <c r="R28" s="76">
        <v>26972</v>
      </c>
      <c r="S28" s="76">
        <v>19056</v>
      </c>
      <c r="T28" s="76">
        <v>21159</v>
      </c>
      <c r="U28" s="48">
        <v>55032</v>
      </c>
    </row>
    <row r="29" spans="1:21" s="125" customFormat="1" ht="13.5" thickBot="1">
      <c r="A29" s="49" t="s">
        <v>22</v>
      </c>
      <c r="B29" s="50">
        <f t="shared" si="1"/>
        <v>1.5517838356721536</v>
      </c>
      <c r="C29" s="197">
        <f>E29-'[1]Italy'!C29</f>
        <v>-39478.301534759754</v>
      </c>
      <c r="D29" s="102">
        <f>F29-'[1]Italy'!D29</f>
        <v>-14761.075817406221</v>
      </c>
      <c r="E29" s="51">
        <f>SUM(E24:E28)</f>
        <v>141492.90875072434</v>
      </c>
      <c r="F29" s="102">
        <f>SUM(F24:F28)</f>
        <v>55448.62647562557</v>
      </c>
      <c r="G29" s="102">
        <f>SUM(G24:G28)</f>
        <v>220936.90028619717</v>
      </c>
      <c r="H29" s="102">
        <f>SUM(H24:H28)</f>
        <v>108491.73440712279</v>
      </c>
      <c r="I29" s="102">
        <v>255781.3965072959</v>
      </c>
      <c r="J29" s="102">
        <v>285998</v>
      </c>
      <c r="K29" s="80">
        <f>SUM(K24:K28)</f>
        <v>254320.34380295454</v>
      </c>
      <c r="L29" s="80">
        <f>SUM(L24:L28)</f>
        <v>316542.18760784686</v>
      </c>
      <c r="M29" s="80">
        <f>SUM(M24:M28)</f>
        <v>313943.30568824644</v>
      </c>
      <c r="N29" s="80">
        <f>SUM(N24:N28)</f>
        <v>401545.789257584</v>
      </c>
      <c r="O29" s="80">
        <f aca="true" t="shared" si="2" ref="O29:U29">SUM(O24:O28)</f>
        <v>285216</v>
      </c>
      <c r="P29" s="80">
        <f t="shared" si="2"/>
        <v>471554</v>
      </c>
      <c r="Q29" s="80">
        <f t="shared" si="2"/>
        <v>216968</v>
      </c>
      <c r="R29" s="80">
        <f t="shared" si="2"/>
        <v>297250</v>
      </c>
      <c r="S29" s="80">
        <f t="shared" si="2"/>
        <v>237404</v>
      </c>
      <c r="T29" s="80">
        <f t="shared" si="2"/>
        <v>278826</v>
      </c>
      <c r="U29" s="103">
        <f t="shared" si="2"/>
        <v>316317</v>
      </c>
    </row>
    <row r="31" ht="12.75">
      <c r="A31" s="65"/>
    </row>
    <row r="36" spans="20:22" ht="18">
      <c r="T36" s="113"/>
      <c r="U36" s="85"/>
      <c r="V36" s="85"/>
    </row>
    <row r="37" spans="20:22" ht="18">
      <c r="T37" s="113"/>
      <c r="U37" s="85"/>
      <c r="V37" s="85"/>
    </row>
    <row r="38" spans="20:22" ht="18">
      <c r="T38" s="113"/>
      <c r="U38" s="85"/>
      <c r="V38" s="85"/>
    </row>
    <row r="39" spans="20:22" ht="18">
      <c r="T39" s="113"/>
      <c r="U39" s="85"/>
      <c r="V39" s="85"/>
    </row>
    <row r="40" spans="20:22" ht="18">
      <c r="T40" s="113"/>
      <c r="U40" s="85"/>
      <c r="V40" s="85"/>
    </row>
    <row r="41" spans="20:22" ht="18">
      <c r="T41" s="113"/>
      <c r="U41" s="85"/>
      <c r="V41" s="85"/>
    </row>
    <row r="42" spans="20:22" ht="18">
      <c r="T42" s="113"/>
      <c r="U42" s="85"/>
      <c r="V42" s="85"/>
    </row>
    <row r="43" spans="20:22" ht="18">
      <c r="T43" s="113"/>
      <c r="U43" s="85"/>
      <c r="V43" s="85"/>
    </row>
    <row r="44" spans="20:22" ht="18">
      <c r="T44" s="113"/>
      <c r="U44" s="85"/>
      <c r="V44" s="85"/>
    </row>
    <row r="45" spans="20:22" ht="18">
      <c r="T45" s="113"/>
      <c r="U45" s="85"/>
      <c r="V45" s="85"/>
    </row>
    <row r="46" spans="20:22" ht="18">
      <c r="T46" s="114"/>
      <c r="U46" s="85"/>
      <c r="V46" s="85"/>
    </row>
    <row r="47" spans="20:22" ht="18">
      <c r="T47" s="115"/>
      <c r="U47" s="116"/>
      <c r="V47" s="116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" right="0.7" top="0.75" bottom="0.75" header="0.3" footer="0.3"/>
  <pageSetup orientation="portrait" paperSize="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V4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9.28125" style="33" customWidth="1"/>
    <col min="2" max="2" width="10.7109375" style="33" customWidth="1"/>
    <col min="3" max="4" width="11.421875" style="33" bestFit="1" customWidth="1"/>
    <col min="5" max="5" width="11.421875" style="33" customWidth="1"/>
    <col min="6" max="8" width="11.421875" style="84" customWidth="1"/>
    <col min="9" max="9" width="11.421875" style="84" bestFit="1" customWidth="1"/>
    <col min="10" max="10" width="11.421875" style="84" customWidth="1"/>
    <col min="11" max="11" width="10.140625" style="33" bestFit="1" customWidth="1"/>
    <col min="12" max="19" width="10.140625" style="59" bestFit="1" customWidth="1"/>
    <col min="20" max="21" width="10.140625" style="33" bestFit="1" customWidth="1"/>
    <col min="22" max="16384" width="9.140625" style="33" customWidth="1"/>
  </cols>
  <sheetData>
    <row r="1" spans="1:21" s="59" customFormat="1" ht="13.5" thickBot="1">
      <c r="A1" s="34" t="s">
        <v>23</v>
      </c>
      <c r="B1" s="17" t="s">
        <v>182</v>
      </c>
      <c r="C1" s="174" t="s">
        <v>183</v>
      </c>
      <c r="D1" s="55" t="s">
        <v>177</v>
      </c>
      <c r="E1" s="31">
        <v>44896</v>
      </c>
      <c r="F1" s="18">
        <v>44531</v>
      </c>
      <c r="G1" s="18">
        <v>44166</v>
      </c>
      <c r="H1" s="18">
        <v>43800</v>
      </c>
      <c r="I1" s="18">
        <v>43435</v>
      </c>
      <c r="J1" s="18">
        <v>43070</v>
      </c>
      <c r="K1" s="18">
        <v>42705</v>
      </c>
      <c r="L1" s="57">
        <v>42339</v>
      </c>
      <c r="M1" s="57">
        <v>41974</v>
      </c>
      <c r="N1" s="57">
        <v>41609</v>
      </c>
      <c r="O1" s="57">
        <v>41244</v>
      </c>
      <c r="P1" s="57">
        <v>40878</v>
      </c>
      <c r="Q1" s="57">
        <v>40513</v>
      </c>
      <c r="R1" s="57">
        <v>40148</v>
      </c>
      <c r="S1" s="57">
        <v>39783</v>
      </c>
      <c r="T1" s="57">
        <v>39417</v>
      </c>
      <c r="U1" s="98">
        <v>39052</v>
      </c>
    </row>
    <row r="2" spans="1:21" ht="12.75">
      <c r="A2" s="141" t="s">
        <v>3</v>
      </c>
      <c r="B2" s="68"/>
      <c r="C2" s="198">
        <f>E2-'[1]Poland'!C2</f>
        <v>0</v>
      </c>
      <c r="D2" s="43">
        <f>F2-'[1]Poland'!D2</f>
        <v>0</v>
      </c>
      <c r="E2" s="69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>
        <v>5000</v>
      </c>
      <c r="S2" s="43">
        <v>5000</v>
      </c>
      <c r="T2" s="43">
        <v>0</v>
      </c>
      <c r="U2" s="42">
        <v>0</v>
      </c>
    </row>
    <row r="3" spans="1:21" ht="12.75">
      <c r="A3" s="141" t="s">
        <v>32</v>
      </c>
      <c r="B3" s="68"/>
      <c r="C3" s="198">
        <f>E3-'[1]Poland'!C3</f>
        <v>0</v>
      </c>
      <c r="D3" s="43">
        <f>F3-'[1]Poland'!D3</f>
        <v>0</v>
      </c>
      <c r="E3" s="69"/>
      <c r="F3" s="43"/>
      <c r="G3" s="43"/>
      <c r="H3" s="43"/>
      <c r="I3" s="43"/>
      <c r="J3" s="43"/>
      <c r="K3" s="9"/>
      <c r="L3" s="43">
        <v>0</v>
      </c>
      <c r="M3" s="43">
        <v>2000</v>
      </c>
      <c r="N3" s="43">
        <v>3000</v>
      </c>
      <c r="O3" s="43">
        <v>7000</v>
      </c>
      <c r="P3" s="43">
        <v>6000</v>
      </c>
      <c r="Q3" s="43">
        <v>15000</v>
      </c>
      <c r="R3" s="43">
        <v>30000</v>
      </c>
      <c r="S3" s="43">
        <v>30000</v>
      </c>
      <c r="T3" s="43">
        <v>12000</v>
      </c>
      <c r="U3" s="42">
        <v>25000</v>
      </c>
    </row>
    <row r="4" spans="1:21" ht="12.75">
      <c r="A4" s="13" t="s">
        <v>1</v>
      </c>
      <c r="B4" s="68"/>
      <c r="C4" s="198">
        <f>E4-'[1]Poland'!C4</f>
        <v>0</v>
      </c>
      <c r="D4" s="43">
        <f>F4-'[1]Poland'!D4</f>
        <v>0</v>
      </c>
      <c r="E4" s="69"/>
      <c r="F4" s="43"/>
      <c r="G4" s="43"/>
      <c r="H4" s="43"/>
      <c r="I4" s="43"/>
      <c r="J4" s="43"/>
      <c r="K4" s="9">
        <v>0</v>
      </c>
      <c r="L4" s="43">
        <v>1000</v>
      </c>
      <c r="M4" s="43">
        <v>1000</v>
      </c>
      <c r="N4" s="43">
        <v>2000</v>
      </c>
      <c r="O4" s="43">
        <v>7000</v>
      </c>
      <c r="P4" s="43">
        <v>6000</v>
      </c>
      <c r="Q4" s="43"/>
      <c r="R4" s="43">
        <v>15000</v>
      </c>
      <c r="S4" s="43">
        <v>15000</v>
      </c>
      <c r="T4" s="43">
        <v>5000</v>
      </c>
      <c r="U4" s="42">
        <v>6000</v>
      </c>
    </row>
    <row r="5" spans="1:21" ht="12.75">
      <c r="A5" s="13" t="s">
        <v>8</v>
      </c>
      <c r="B5" s="68">
        <f aca="true" t="shared" si="0" ref="B5:B10">(E5-F5)/F5</f>
        <v>-0.2</v>
      </c>
      <c r="C5" s="198">
        <f>E5-'[1]Poland'!C5</f>
        <v>160000</v>
      </c>
      <c r="D5" s="43">
        <f>F5-'[1]Poland'!D5</f>
        <v>200000</v>
      </c>
      <c r="E5" s="69">
        <v>160000</v>
      </c>
      <c r="F5" s="43">
        <v>200000</v>
      </c>
      <c r="G5" s="43">
        <v>145000</v>
      </c>
      <c r="H5" s="43">
        <v>130000</v>
      </c>
      <c r="I5" s="43">
        <v>150000</v>
      </c>
      <c r="J5" s="43">
        <v>120000</v>
      </c>
      <c r="K5" s="9">
        <v>130000</v>
      </c>
      <c r="L5" s="43">
        <v>110000</v>
      </c>
      <c r="M5" s="43">
        <v>110000</v>
      </c>
      <c r="N5" s="43">
        <v>120000</v>
      </c>
      <c r="O5" s="43">
        <v>80000</v>
      </c>
      <c r="P5" s="43">
        <v>85000</v>
      </c>
      <c r="Q5" s="43">
        <v>65000</v>
      </c>
      <c r="R5" s="43">
        <v>70000</v>
      </c>
      <c r="S5" s="43">
        <v>60000</v>
      </c>
      <c r="T5" s="43">
        <v>45000</v>
      </c>
      <c r="U5" s="42">
        <v>40000</v>
      </c>
    </row>
    <row r="6" spans="1:21" ht="12.75">
      <c r="A6" s="13" t="s">
        <v>13</v>
      </c>
      <c r="B6" s="68">
        <f t="shared" si="0"/>
        <v>-0.6666666666666666</v>
      </c>
      <c r="C6" s="198">
        <f>E6-'[1]Poland'!C6</f>
        <v>30000</v>
      </c>
      <c r="D6" s="43">
        <f>F6-'[1]Poland'!D6</f>
        <v>90000</v>
      </c>
      <c r="E6" s="69">
        <v>30000</v>
      </c>
      <c r="F6" s="43">
        <v>90000</v>
      </c>
      <c r="G6" s="43">
        <v>75000</v>
      </c>
      <c r="H6" s="43">
        <v>80000</v>
      </c>
      <c r="I6" s="43">
        <v>95000</v>
      </c>
      <c r="J6" s="43">
        <v>95000</v>
      </c>
      <c r="K6" s="9">
        <v>100000</v>
      </c>
      <c r="L6" s="43">
        <v>100000</v>
      </c>
      <c r="M6" s="43">
        <v>100000</v>
      </c>
      <c r="N6" s="43">
        <v>100000</v>
      </c>
      <c r="O6" s="43">
        <v>100000</v>
      </c>
      <c r="P6" s="43">
        <v>82000</v>
      </c>
      <c r="Q6" s="43">
        <v>30000</v>
      </c>
      <c r="R6" s="43">
        <v>20000</v>
      </c>
      <c r="S6" s="43">
        <v>20000</v>
      </c>
      <c r="T6" s="43">
        <v>20000</v>
      </c>
      <c r="U6" s="42">
        <v>30000</v>
      </c>
    </row>
    <row r="7" spans="1:21" ht="12.75">
      <c r="A7" s="13" t="s">
        <v>2</v>
      </c>
      <c r="B7" s="68">
        <f t="shared" si="0"/>
        <v>-0.08333333333333333</v>
      </c>
      <c r="C7" s="198">
        <f>E7-'[1]Poland'!C7</f>
        <v>220000</v>
      </c>
      <c r="D7" s="43">
        <f>F7-'[1]Poland'!D7</f>
        <v>240000</v>
      </c>
      <c r="E7" s="69">
        <v>220000</v>
      </c>
      <c r="F7" s="43">
        <v>240000</v>
      </c>
      <c r="G7" s="43">
        <v>150000</v>
      </c>
      <c r="H7" s="43">
        <v>120000</v>
      </c>
      <c r="I7" s="43">
        <v>150000</v>
      </c>
      <c r="J7" s="43">
        <v>150000</v>
      </c>
      <c r="K7" s="54">
        <v>170000</v>
      </c>
      <c r="L7" s="108">
        <v>170000</v>
      </c>
      <c r="M7" s="108">
        <v>170000</v>
      </c>
      <c r="N7" s="108">
        <v>140000</v>
      </c>
      <c r="O7" s="108">
        <v>140000</v>
      </c>
      <c r="P7" s="108">
        <v>140000</v>
      </c>
      <c r="Q7" s="108">
        <v>70000</v>
      </c>
      <c r="R7" s="108">
        <v>90000</v>
      </c>
      <c r="S7" s="108">
        <v>85000</v>
      </c>
      <c r="T7" s="43">
        <v>75000</v>
      </c>
      <c r="U7" s="42">
        <v>70000</v>
      </c>
    </row>
    <row r="8" spans="1:21" ht="12.75">
      <c r="A8" s="13" t="s">
        <v>9</v>
      </c>
      <c r="B8" s="68">
        <f t="shared" si="0"/>
        <v>-0.25806451612903225</v>
      </c>
      <c r="C8" s="198">
        <f>E8-'[1]Poland'!C8</f>
        <v>230000</v>
      </c>
      <c r="D8" s="43">
        <f>F8-'[1]Poland'!D8</f>
        <v>310000</v>
      </c>
      <c r="E8" s="69">
        <v>230000</v>
      </c>
      <c r="F8" s="43">
        <v>310000</v>
      </c>
      <c r="G8" s="43">
        <v>250000</v>
      </c>
      <c r="H8" s="43">
        <v>210000</v>
      </c>
      <c r="I8" s="43">
        <v>350000</v>
      </c>
      <c r="J8" s="43">
        <v>180000</v>
      </c>
      <c r="K8" s="54">
        <v>330000</v>
      </c>
      <c r="L8" s="108">
        <v>370000</v>
      </c>
      <c r="M8" s="108">
        <v>350000</v>
      </c>
      <c r="N8" s="108">
        <v>300000</v>
      </c>
      <c r="O8" s="108">
        <v>270000</v>
      </c>
      <c r="P8" s="108">
        <v>240000</v>
      </c>
      <c r="Q8" s="108">
        <v>100000</v>
      </c>
      <c r="R8" s="108">
        <v>120000</v>
      </c>
      <c r="S8" s="108">
        <v>140000</v>
      </c>
      <c r="T8" s="43">
        <v>40000</v>
      </c>
      <c r="U8" s="42">
        <v>100000</v>
      </c>
    </row>
    <row r="9" spans="1:21" ht="12.75">
      <c r="A9" s="13" t="s">
        <v>26</v>
      </c>
      <c r="B9" s="68">
        <f t="shared" si="0"/>
        <v>-0.3</v>
      </c>
      <c r="C9" s="198">
        <f>E9-'[1]Poland'!C9</f>
        <v>70000</v>
      </c>
      <c r="D9" s="43">
        <f>F9-'[1]Poland'!D9</f>
        <v>100000</v>
      </c>
      <c r="E9" s="69">
        <v>70000</v>
      </c>
      <c r="F9" s="43">
        <v>100000</v>
      </c>
      <c r="G9" s="43">
        <v>120000</v>
      </c>
      <c r="H9" s="43">
        <v>80000</v>
      </c>
      <c r="I9" s="43">
        <v>120000</v>
      </c>
      <c r="J9" s="43">
        <v>55000</v>
      </c>
      <c r="K9" s="54">
        <v>120000</v>
      </c>
      <c r="L9" s="108">
        <v>120000</v>
      </c>
      <c r="M9" s="108">
        <v>110000</v>
      </c>
      <c r="N9" s="108">
        <v>95000</v>
      </c>
      <c r="O9" s="108">
        <v>95000</v>
      </c>
      <c r="P9" s="108">
        <v>90000</v>
      </c>
      <c r="Q9" s="108">
        <v>40000</v>
      </c>
      <c r="R9" s="108">
        <v>80000</v>
      </c>
      <c r="S9" s="108">
        <v>60000</v>
      </c>
      <c r="T9" s="43">
        <v>10000</v>
      </c>
      <c r="U9" s="42">
        <v>30000</v>
      </c>
    </row>
    <row r="10" spans="1:21" ht="12.75">
      <c r="A10" s="13" t="s">
        <v>157</v>
      </c>
      <c r="B10" s="68">
        <f t="shared" si="0"/>
        <v>-0.3333333333333333</v>
      </c>
      <c r="C10" s="198">
        <f>E10-'[1]Poland'!C10</f>
        <v>90000</v>
      </c>
      <c r="D10" s="43">
        <f>F10-'[1]Poland'!D10</f>
        <v>135000</v>
      </c>
      <c r="E10" s="69">
        <v>90000</v>
      </c>
      <c r="F10" s="43">
        <v>135000</v>
      </c>
      <c r="G10" s="43">
        <v>140000</v>
      </c>
      <c r="H10" s="43">
        <v>50000</v>
      </c>
      <c r="I10" s="43">
        <v>150000</v>
      </c>
      <c r="J10" s="43">
        <v>95000</v>
      </c>
      <c r="K10" s="54">
        <v>140000</v>
      </c>
      <c r="L10" s="108">
        <v>140000</v>
      </c>
      <c r="M10" s="108">
        <v>135000</v>
      </c>
      <c r="N10" s="108">
        <v>130000</v>
      </c>
      <c r="O10" s="108">
        <v>130000</v>
      </c>
      <c r="P10" s="108">
        <v>115000</v>
      </c>
      <c r="Q10" s="108"/>
      <c r="R10" s="108">
        <v>10000</v>
      </c>
      <c r="S10" s="108">
        <v>10000</v>
      </c>
      <c r="T10" s="43">
        <v>5000</v>
      </c>
      <c r="U10" s="42">
        <v>10000</v>
      </c>
    </row>
    <row r="11" spans="1:21" ht="12.75">
      <c r="A11" s="141" t="s">
        <v>33</v>
      </c>
      <c r="B11" s="68"/>
      <c r="C11" s="198">
        <f>E11-'[1]Poland'!C11</f>
        <v>0</v>
      </c>
      <c r="D11" s="43">
        <f>F11-'[1]Poland'!D11</f>
        <v>0</v>
      </c>
      <c r="E11" s="69"/>
      <c r="F11" s="43"/>
      <c r="G11" s="43"/>
      <c r="H11" s="43"/>
      <c r="I11" s="43"/>
      <c r="J11" s="43"/>
      <c r="K11" s="54"/>
      <c r="L11" s="108">
        <v>0</v>
      </c>
      <c r="M11" s="108">
        <v>2000</v>
      </c>
      <c r="N11" s="108">
        <v>2000</v>
      </c>
      <c r="O11" s="108">
        <v>5000</v>
      </c>
      <c r="P11" s="108">
        <v>5000</v>
      </c>
      <c r="Q11" s="108">
        <v>30000</v>
      </c>
      <c r="R11" s="108">
        <v>65000</v>
      </c>
      <c r="S11" s="108">
        <v>45000</v>
      </c>
      <c r="T11" s="43">
        <v>30000</v>
      </c>
      <c r="U11" s="42">
        <v>45000</v>
      </c>
    </row>
    <row r="12" spans="1:21" ht="12.75">
      <c r="A12" s="141" t="s">
        <v>12</v>
      </c>
      <c r="B12" s="68">
        <f>(E12-F12)/F12</f>
        <v>0</v>
      </c>
      <c r="C12" s="198">
        <f>E12-'[1]Poland'!C12</f>
        <v>50000</v>
      </c>
      <c r="D12" s="43">
        <f>F12-'[1]Poland'!D12</f>
        <v>50000</v>
      </c>
      <c r="E12" s="69">
        <v>50000</v>
      </c>
      <c r="F12" s="43">
        <v>50000</v>
      </c>
      <c r="G12" s="43">
        <v>40000</v>
      </c>
      <c r="H12" s="43">
        <v>15000</v>
      </c>
      <c r="I12" s="43">
        <v>45000</v>
      </c>
      <c r="J12" s="43">
        <v>20000</v>
      </c>
      <c r="K12" s="54">
        <v>20000</v>
      </c>
      <c r="L12" s="108">
        <v>20000</v>
      </c>
      <c r="M12" s="108">
        <v>20000</v>
      </c>
      <c r="N12" s="108">
        <v>18000</v>
      </c>
      <c r="O12" s="108">
        <v>30000</v>
      </c>
      <c r="P12" s="108">
        <v>32000</v>
      </c>
      <c r="Q12" s="108"/>
      <c r="R12" s="108">
        <v>20000</v>
      </c>
      <c r="S12" s="108">
        <v>10000</v>
      </c>
      <c r="T12" s="43">
        <v>3000</v>
      </c>
      <c r="U12" s="42">
        <v>5000</v>
      </c>
    </row>
    <row r="13" spans="1:21" ht="12.75">
      <c r="A13" s="141" t="s">
        <v>18</v>
      </c>
      <c r="B13" s="68">
        <f>(E13-F13)/F13</f>
        <v>0.2</v>
      </c>
      <c r="C13" s="198">
        <f>E13-'[1]Poland'!C13</f>
        <v>60000</v>
      </c>
      <c r="D13" s="43">
        <f>F13-'[1]Poland'!D13</f>
        <v>50000</v>
      </c>
      <c r="E13" s="69">
        <v>60000</v>
      </c>
      <c r="F13" s="43">
        <v>50000</v>
      </c>
      <c r="G13" s="43">
        <v>30000</v>
      </c>
      <c r="H13" s="43">
        <v>22000</v>
      </c>
      <c r="I13" s="43">
        <v>15000</v>
      </c>
      <c r="J13" s="43">
        <v>4000</v>
      </c>
      <c r="K13" s="54">
        <v>10000</v>
      </c>
      <c r="L13" s="108">
        <v>10000</v>
      </c>
      <c r="M13" s="108">
        <v>6000</v>
      </c>
      <c r="N13" s="108">
        <v>3000</v>
      </c>
      <c r="O13" s="108">
        <v>4000</v>
      </c>
      <c r="P13" s="108">
        <v>6000</v>
      </c>
      <c r="Q13" s="108"/>
      <c r="R13" s="108">
        <v>20000</v>
      </c>
      <c r="S13" s="108">
        <v>15000</v>
      </c>
      <c r="T13" s="43">
        <v>8000</v>
      </c>
      <c r="U13" s="42">
        <v>10000</v>
      </c>
    </row>
    <row r="14" spans="1:21" ht="12.75">
      <c r="A14" s="141" t="s">
        <v>97</v>
      </c>
      <c r="B14" s="68">
        <f>(E14-F14)/F14</f>
        <v>0.2857142857142857</v>
      </c>
      <c r="C14" s="198">
        <f>E14-'[1]Poland'!C14</f>
        <v>270000</v>
      </c>
      <c r="D14" s="43">
        <f>F14-'[1]Poland'!D14</f>
        <v>210000</v>
      </c>
      <c r="E14" s="69">
        <v>270000</v>
      </c>
      <c r="F14" s="43">
        <v>210000</v>
      </c>
      <c r="G14" s="43">
        <v>180000</v>
      </c>
      <c r="H14" s="43">
        <v>150000</v>
      </c>
      <c r="I14" s="43">
        <v>90000</v>
      </c>
      <c r="J14" s="43"/>
      <c r="K14" s="54"/>
      <c r="L14" s="108"/>
      <c r="M14" s="108"/>
      <c r="N14" s="108"/>
      <c r="O14" s="108"/>
      <c r="P14" s="108"/>
      <c r="Q14" s="108"/>
      <c r="R14" s="108"/>
      <c r="S14" s="108"/>
      <c r="T14" s="43"/>
      <c r="U14" s="42"/>
    </row>
    <row r="15" spans="1:21" ht="12.75">
      <c r="A15" s="141" t="s">
        <v>88</v>
      </c>
      <c r="B15" s="68">
        <f>(E15-F15)/F15</f>
        <v>-0.14285714285714285</v>
      </c>
      <c r="C15" s="198">
        <f>E15-'[1]Poland'!C15</f>
        <v>120000</v>
      </c>
      <c r="D15" s="43">
        <f>F15-'[1]Poland'!D15</f>
        <v>140000</v>
      </c>
      <c r="E15" s="69">
        <v>120000</v>
      </c>
      <c r="F15" s="43">
        <v>140000</v>
      </c>
      <c r="G15" s="43">
        <v>170000</v>
      </c>
      <c r="H15" s="43">
        <v>150000</v>
      </c>
      <c r="I15" s="43">
        <v>230000</v>
      </c>
      <c r="J15" s="43">
        <v>170000</v>
      </c>
      <c r="K15" s="54">
        <v>210000</v>
      </c>
      <c r="L15" s="108">
        <v>210000</v>
      </c>
      <c r="M15" s="108">
        <v>210000</v>
      </c>
      <c r="N15" s="108">
        <v>200000</v>
      </c>
      <c r="O15" s="108">
        <v>170000</v>
      </c>
      <c r="P15" s="108">
        <v>145000</v>
      </c>
      <c r="Q15" s="108">
        <v>70000</v>
      </c>
      <c r="R15" s="108">
        <v>100000</v>
      </c>
      <c r="S15" s="108">
        <v>100000</v>
      </c>
      <c r="T15" s="43">
        <v>75000</v>
      </c>
      <c r="U15" s="42">
        <v>80000</v>
      </c>
    </row>
    <row r="16" spans="1:21" ht="12.75">
      <c r="A16" s="141" t="s">
        <v>34</v>
      </c>
      <c r="B16" s="68"/>
      <c r="C16" s="198">
        <f>E16-'[1]Poland'!C16</f>
        <v>0</v>
      </c>
      <c r="D16" s="43">
        <f>F16-'[1]Poland'!D16</f>
        <v>0</v>
      </c>
      <c r="E16" s="69"/>
      <c r="F16" s="43"/>
      <c r="G16" s="43"/>
      <c r="H16" s="43"/>
      <c r="I16" s="43"/>
      <c r="J16" s="43"/>
      <c r="K16" s="54"/>
      <c r="L16" s="108"/>
      <c r="M16" s="108"/>
      <c r="N16" s="108"/>
      <c r="O16" s="108"/>
      <c r="P16" s="108"/>
      <c r="Q16" s="108"/>
      <c r="R16" s="108">
        <v>5000</v>
      </c>
      <c r="S16" s="108">
        <v>5000</v>
      </c>
      <c r="T16" s="43">
        <v>0</v>
      </c>
      <c r="U16" s="42">
        <v>0</v>
      </c>
    </row>
    <row r="17" spans="1:21" ht="13.5" thickBot="1">
      <c r="A17" s="231" t="s">
        <v>58</v>
      </c>
      <c r="B17" s="68">
        <f>(E17-F17)/F17</f>
        <v>-0.29411764705882354</v>
      </c>
      <c r="C17" s="198">
        <f>E17-'[1]Poland'!C17</f>
        <v>120000</v>
      </c>
      <c r="D17" s="43">
        <f>F17-'[1]Poland'!D17</f>
        <v>170000</v>
      </c>
      <c r="E17" s="69">
        <v>120000</v>
      </c>
      <c r="F17" s="43">
        <v>170000</v>
      </c>
      <c r="G17" s="43">
        <v>300000</v>
      </c>
      <c r="H17" s="43">
        <v>120000</v>
      </c>
      <c r="I17" s="43">
        <v>310000</v>
      </c>
      <c r="J17" s="43">
        <v>150000</v>
      </c>
      <c r="K17" s="54">
        <v>230000</v>
      </c>
      <c r="L17" s="108">
        <v>250000</v>
      </c>
      <c r="M17" s="108">
        <v>250000</v>
      </c>
      <c r="N17" s="108">
        <v>130000</v>
      </c>
      <c r="O17" s="108">
        <v>170000</v>
      </c>
      <c r="P17" s="108">
        <v>105000</v>
      </c>
      <c r="Q17" s="108">
        <v>30000</v>
      </c>
      <c r="R17" s="108">
        <v>50000</v>
      </c>
      <c r="S17" s="108">
        <v>50000</v>
      </c>
      <c r="T17" s="43">
        <v>52000</v>
      </c>
      <c r="U17" s="42">
        <v>49000</v>
      </c>
    </row>
    <row r="18" spans="1:21" s="125" customFormat="1" ht="13.5" thickBot="1">
      <c r="A18" s="216" t="s">
        <v>22</v>
      </c>
      <c r="B18" s="50">
        <f>(E18-F18)/F18</f>
        <v>-0.16224188790560473</v>
      </c>
      <c r="C18" s="197">
        <f>E18-'[1]Poland'!C18</f>
        <v>1420000</v>
      </c>
      <c r="D18" s="102">
        <f>F18-'[1]Poland'!D18</f>
        <v>1695000</v>
      </c>
      <c r="E18" s="51">
        <f>SUM(E2:E17)</f>
        <v>1420000</v>
      </c>
      <c r="F18" s="102">
        <f>SUM(F2:F17)</f>
        <v>1695000</v>
      </c>
      <c r="G18" s="102">
        <f>SUM(G2:G17)</f>
        <v>1600000</v>
      </c>
      <c r="H18" s="102">
        <f>SUM(H2:H17)</f>
        <v>1127000</v>
      </c>
      <c r="I18" s="150">
        <v>1705000</v>
      </c>
      <c r="J18" s="150">
        <v>1039000</v>
      </c>
      <c r="K18" s="150">
        <f>SUM(K3:K17)</f>
        <v>1460000</v>
      </c>
      <c r="L18" s="102">
        <f>SUM(L2:L17)</f>
        <v>1501000</v>
      </c>
      <c r="M18" s="102">
        <f>SUM(M2:M17)</f>
        <v>1466000</v>
      </c>
      <c r="N18" s="102">
        <f>SUM(N2:N17)</f>
        <v>1243000</v>
      </c>
      <c r="O18" s="102">
        <f>SUM(O2:O17)</f>
        <v>1208000</v>
      </c>
      <c r="P18" s="102">
        <f aca="true" t="shared" si="1" ref="P18:U18">SUM(P2:P17)</f>
        <v>1057000</v>
      </c>
      <c r="Q18" s="102">
        <f t="shared" si="1"/>
        <v>450000</v>
      </c>
      <c r="R18" s="102">
        <f t="shared" si="1"/>
        <v>700000</v>
      </c>
      <c r="S18" s="102">
        <f t="shared" si="1"/>
        <v>650000</v>
      </c>
      <c r="T18" s="102">
        <f t="shared" si="1"/>
        <v>380000</v>
      </c>
      <c r="U18" s="53">
        <f t="shared" si="1"/>
        <v>500000</v>
      </c>
    </row>
    <row r="19" spans="2:19" s="84" customFormat="1" ht="12.75"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65"/>
      <c r="M19" s="65"/>
      <c r="N19" s="65"/>
      <c r="O19" s="65"/>
      <c r="P19" s="65"/>
      <c r="Q19" s="65"/>
      <c r="R19" s="65"/>
      <c r="S19" s="65"/>
    </row>
    <row r="20" spans="2:19" s="84" customFormat="1" ht="13.5" thickBot="1">
      <c r="B20" s="82"/>
      <c r="C20" s="82"/>
      <c r="D20" s="82"/>
      <c r="E20" s="82"/>
      <c r="F20" s="82"/>
      <c r="G20" s="82"/>
      <c r="H20" s="82"/>
      <c r="I20" s="82"/>
      <c r="J20" s="82"/>
      <c r="K20" s="82"/>
      <c r="L20" s="65"/>
      <c r="M20" s="65"/>
      <c r="N20" s="65"/>
      <c r="O20" s="65"/>
      <c r="P20" s="65"/>
      <c r="Q20" s="65"/>
      <c r="R20" s="65"/>
      <c r="S20" s="65"/>
    </row>
    <row r="21" spans="1:21" s="59" customFormat="1" ht="13.5" thickBot="1">
      <c r="A21" s="34" t="s">
        <v>24</v>
      </c>
      <c r="B21" s="17" t="s">
        <v>182</v>
      </c>
      <c r="C21" s="174" t="s">
        <v>183</v>
      </c>
      <c r="D21" s="55" t="s">
        <v>177</v>
      </c>
      <c r="E21" s="31">
        <v>44896</v>
      </c>
      <c r="F21" s="18">
        <v>44531</v>
      </c>
      <c r="G21" s="18">
        <v>44166</v>
      </c>
      <c r="H21" s="18">
        <v>43800</v>
      </c>
      <c r="I21" s="18">
        <v>43435</v>
      </c>
      <c r="J21" s="18">
        <v>43070</v>
      </c>
      <c r="K21" s="18">
        <v>42705</v>
      </c>
      <c r="L21" s="57">
        <f>L1</f>
        <v>42339</v>
      </c>
      <c r="M21" s="57">
        <f>M1</f>
        <v>41974</v>
      </c>
      <c r="N21" s="57">
        <v>41609</v>
      </c>
      <c r="O21" s="57">
        <v>41244</v>
      </c>
      <c r="P21" s="57">
        <v>40878</v>
      </c>
      <c r="Q21" s="57">
        <v>40513</v>
      </c>
      <c r="R21" s="57">
        <v>40148</v>
      </c>
      <c r="S21" s="57">
        <v>39783</v>
      </c>
      <c r="T21" s="57">
        <v>39417</v>
      </c>
      <c r="U21" s="98">
        <v>39052</v>
      </c>
    </row>
    <row r="22" spans="1:21" ht="12.75">
      <c r="A22" s="67" t="s">
        <v>6</v>
      </c>
      <c r="B22" s="68">
        <f>(E22-F22)/F22</f>
        <v>0.2857142857142857</v>
      </c>
      <c r="C22" s="198">
        <f>E22-'[1]Poland'!C22</f>
        <v>45000</v>
      </c>
      <c r="D22" s="43">
        <f>F22-'[1]Poland'!D22</f>
        <v>35000</v>
      </c>
      <c r="E22" s="69">
        <v>45000</v>
      </c>
      <c r="F22" s="43">
        <v>35000</v>
      </c>
      <c r="G22" s="43">
        <v>30000</v>
      </c>
      <c r="H22" s="43">
        <v>15000</v>
      </c>
      <c r="I22" s="43">
        <v>30000</v>
      </c>
      <c r="J22" s="43">
        <v>12000</v>
      </c>
      <c r="K22" s="43">
        <v>15000</v>
      </c>
      <c r="L22" s="43">
        <v>20000</v>
      </c>
      <c r="M22" s="43">
        <v>10000</v>
      </c>
      <c r="N22" s="43">
        <v>25000</v>
      </c>
      <c r="O22" s="43">
        <v>7000</v>
      </c>
      <c r="P22" s="43">
        <v>15000</v>
      </c>
      <c r="Q22" s="43">
        <v>15000</v>
      </c>
      <c r="R22" s="43">
        <v>35000</v>
      </c>
      <c r="S22" s="43">
        <v>25000</v>
      </c>
      <c r="T22" s="43">
        <v>10000</v>
      </c>
      <c r="U22" s="42">
        <v>30000</v>
      </c>
    </row>
    <row r="23" spans="1:21" ht="12.75">
      <c r="A23" s="67" t="s">
        <v>137</v>
      </c>
      <c r="B23" s="68"/>
      <c r="C23" s="198">
        <f>E23-'[1]Poland'!C23</f>
        <v>0</v>
      </c>
      <c r="D23" s="43">
        <f>F23-'[1]Poland'!D23</f>
        <v>0</v>
      </c>
      <c r="E23" s="69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>
        <v>1000</v>
      </c>
      <c r="U23" s="42">
        <v>3000</v>
      </c>
    </row>
    <row r="24" spans="1:21" ht="13.5" thickBot="1">
      <c r="A24" s="73" t="s">
        <v>58</v>
      </c>
      <c r="B24" s="68">
        <f>(E24-F24)/F24</f>
        <v>-0.16666666666666666</v>
      </c>
      <c r="C24" s="198">
        <f>E24-'[1]Poland'!C24</f>
        <v>5000</v>
      </c>
      <c r="D24" s="43">
        <f>F24-'[1]Poland'!D24</f>
        <v>6000</v>
      </c>
      <c r="E24" s="69">
        <v>5000</v>
      </c>
      <c r="F24" s="43">
        <v>6000</v>
      </c>
      <c r="G24" s="43">
        <v>6000</v>
      </c>
      <c r="H24" s="76">
        <v>3000</v>
      </c>
      <c r="I24" s="76">
        <v>7000</v>
      </c>
      <c r="J24" s="76">
        <v>1000</v>
      </c>
      <c r="K24" s="76">
        <v>1000</v>
      </c>
      <c r="L24" s="76">
        <v>3000</v>
      </c>
      <c r="M24" s="76">
        <v>3000</v>
      </c>
      <c r="N24" s="76">
        <v>5000</v>
      </c>
      <c r="O24" s="76">
        <v>1000</v>
      </c>
      <c r="P24" s="76">
        <v>4000</v>
      </c>
      <c r="Q24" s="76">
        <v>7000</v>
      </c>
      <c r="R24" s="76">
        <v>15000</v>
      </c>
      <c r="S24" s="76">
        <v>10000</v>
      </c>
      <c r="T24" s="76">
        <v>7000</v>
      </c>
      <c r="U24" s="48">
        <v>7000</v>
      </c>
    </row>
    <row r="25" spans="1:21" s="125" customFormat="1" ht="13.5" thickBot="1">
      <c r="A25" s="49" t="s">
        <v>22</v>
      </c>
      <c r="B25" s="50">
        <f>(E25-F25)/F25</f>
        <v>0.21951219512195122</v>
      </c>
      <c r="C25" s="197">
        <f>E25-'[1]Poland'!C25</f>
        <v>50000</v>
      </c>
      <c r="D25" s="102">
        <f>F25-'[1]Poland'!D25</f>
        <v>41000</v>
      </c>
      <c r="E25" s="51">
        <f>SUM(E22:E24)</f>
        <v>50000</v>
      </c>
      <c r="F25" s="102">
        <f>SUM(F22:F24)</f>
        <v>41000</v>
      </c>
      <c r="G25" s="102">
        <f>SUM(G22:G24)</f>
        <v>36000</v>
      </c>
      <c r="H25" s="212">
        <f>SUM(H22:H24)</f>
        <v>18000</v>
      </c>
      <c r="I25" s="80">
        <v>37000</v>
      </c>
      <c r="J25" s="80">
        <v>13000</v>
      </c>
      <c r="K25" s="80">
        <f>SUM(K22:K24)</f>
        <v>16000</v>
      </c>
      <c r="L25" s="80">
        <f>SUM(L22:L24)</f>
        <v>23000</v>
      </c>
      <c r="M25" s="80">
        <f>SUM(M22:M24)</f>
        <v>13000</v>
      </c>
      <c r="N25" s="80">
        <f>SUM(N22:N24)</f>
        <v>30000</v>
      </c>
      <c r="O25" s="80">
        <f aca="true" t="shared" si="2" ref="O25:U25">SUM(O22:O24)</f>
        <v>8000</v>
      </c>
      <c r="P25" s="80">
        <f t="shared" si="2"/>
        <v>19000</v>
      </c>
      <c r="Q25" s="80">
        <f t="shared" si="2"/>
        <v>22000</v>
      </c>
      <c r="R25" s="80">
        <f t="shared" si="2"/>
        <v>50000</v>
      </c>
      <c r="S25" s="80">
        <f t="shared" si="2"/>
        <v>35000</v>
      </c>
      <c r="T25" s="80">
        <f t="shared" si="2"/>
        <v>18000</v>
      </c>
      <c r="U25" s="103">
        <f t="shared" si="2"/>
        <v>40000</v>
      </c>
    </row>
    <row r="27" ht="18">
      <c r="A27" s="113" t="s">
        <v>173</v>
      </c>
    </row>
    <row r="28" ht="18">
      <c r="A28" s="113" t="s">
        <v>174</v>
      </c>
    </row>
    <row r="32" spans="20:22" ht="18">
      <c r="T32" s="113"/>
      <c r="U32" s="85"/>
      <c r="V32" s="85"/>
    </row>
    <row r="33" spans="20:22" ht="18">
      <c r="T33" s="113"/>
      <c r="U33" s="85"/>
      <c r="V33" s="85"/>
    </row>
    <row r="34" spans="20:22" ht="18">
      <c r="T34" s="113"/>
      <c r="U34" s="85"/>
      <c r="V34" s="85"/>
    </row>
    <row r="35" spans="20:22" ht="18">
      <c r="T35" s="113"/>
      <c r="U35" s="85"/>
      <c r="V35" s="85"/>
    </row>
    <row r="36" spans="20:22" ht="18">
      <c r="T36" s="113"/>
      <c r="U36" s="85"/>
      <c r="V36" s="85"/>
    </row>
    <row r="37" spans="20:22" ht="18">
      <c r="T37" s="113"/>
      <c r="U37" s="85"/>
      <c r="V37" s="85"/>
    </row>
    <row r="38" spans="20:22" ht="18">
      <c r="T38" s="113"/>
      <c r="U38" s="85"/>
      <c r="V38" s="85"/>
    </row>
    <row r="39" spans="20:22" ht="18">
      <c r="T39" s="113"/>
      <c r="U39" s="85"/>
      <c r="V39" s="85"/>
    </row>
    <row r="40" spans="20:22" ht="18">
      <c r="T40" s="113"/>
      <c r="U40" s="85"/>
      <c r="V40" s="85"/>
    </row>
    <row r="41" spans="20:22" ht="18">
      <c r="T41" s="113"/>
      <c r="U41" s="85"/>
      <c r="V41" s="85"/>
    </row>
    <row r="42" spans="20:22" ht="18">
      <c r="T42" s="114"/>
      <c r="U42" s="85"/>
      <c r="V42" s="85"/>
    </row>
    <row r="43" spans="20:22" ht="18">
      <c r="T43" s="115"/>
      <c r="U43" s="116"/>
      <c r="V43" s="116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R15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29.00390625" style="0" customWidth="1"/>
    <col min="2" max="2" width="11.00390625" style="0" bestFit="1" customWidth="1"/>
    <col min="3" max="3" width="11.421875" style="0" bestFit="1" customWidth="1"/>
    <col min="4" max="4" width="11.421875" style="7" bestFit="1" customWidth="1"/>
    <col min="5" max="8" width="11.421875" style="7" customWidth="1"/>
    <col min="9" max="10" width="11.00390625" style="7" customWidth="1"/>
    <col min="11" max="11" width="11.00390625" style="0" customWidth="1"/>
    <col min="12" max="17" width="10.8515625" style="0" customWidth="1"/>
    <col min="18" max="18" width="11.140625" style="0" customWidth="1"/>
  </cols>
  <sheetData>
    <row r="1" spans="1:18" ht="13.5" thickBot="1">
      <c r="A1" s="139" t="s">
        <v>92</v>
      </c>
      <c r="B1" s="17" t="s">
        <v>182</v>
      </c>
      <c r="C1" s="174" t="s">
        <v>183</v>
      </c>
      <c r="D1" s="55" t="s">
        <v>177</v>
      </c>
      <c r="E1" s="31">
        <v>44896</v>
      </c>
      <c r="F1" s="18">
        <v>44531</v>
      </c>
      <c r="G1" s="18">
        <v>44166</v>
      </c>
      <c r="H1" s="209">
        <v>43800</v>
      </c>
      <c r="I1" s="209">
        <v>43435</v>
      </c>
      <c r="J1" s="209">
        <v>43070</v>
      </c>
      <c r="K1" s="18">
        <v>42705</v>
      </c>
      <c r="L1" s="18">
        <v>42339</v>
      </c>
      <c r="M1" s="18">
        <v>41974</v>
      </c>
      <c r="N1" s="18">
        <v>41609</v>
      </c>
      <c r="O1" s="18">
        <v>41244</v>
      </c>
      <c r="P1" s="18">
        <v>40878</v>
      </c>
      <c r="Q1" s="18">
        <v>40513</v>
      </c>
      <c r="R1" s="140">
        <v>40148</v>
      </c>
    </row>
    <row r="2" spans="1:18" ht="12.75">
      <c r="A2" s="141" t="s">
        <v>8</v>
      </c>
      <c r="B2" s="142"/>
      <c r="C2" s="187"/>
      <c r="D2" s="159"/>
      <c r="E2" s="191"/>
      <c r="F2" s="159"/>
      <c r="G2" s="159"/>
      <c r="H2" s="159"/>
      <c r="I2" s="159"/>
      <c r="J2" s="159"/>
      <c r="K2" s="149"/>
      <c r="L2" s="149"/>
      <c r="M2" s="149"/>
      <c r="N2" s="149"/>
      <c r="O2" s="149"/>
      <c r="P2" s="149"/>
      <c r="Q2" s="149"/>
      <c r="R2" s="143"/>
    </row>
    <row r="3" spans="1:18" ht="12.75">
      <c r="A3" s="141" t="s">
        <v>149</v>
      </c>
      <c r="B3" s="142"/>
      <c r="C3" s="187"/>
      <c r="D3" s="159"/>
      <c r="E3" s="191"/>
      <c r="F3" s="159"/>
      <c r="G3" s="159"/>
      <c r="H3" s="159"/>
      <c r="I3" s="159"/>
      <c r="J3" s="159"/>
      <c r="K3" s="149"/>
      <c r="L3" s="149"/>
      <c r="M3" s="149"/>
      <c r="N3" s="149"/>
      <c r="O3" s="149"/>
      <c r="P3" s="149"/>
      <c r="Q3" s="149"/>
      <c r="R3" s="143"/>
    </row>
    <row r="4" spans="1:18" ht="12.75">
      <c r="A4" s="141" t="s">
        <v>26</v>
      </c>
      <c r="B4" s="142"/>
      <c r="C4" s="187"/>
      <c r="D4" s="159"/>
      <c r="E4" s="191"/>
      <c r="F4" s="159"/>
      <c r="G4" s="159"/>
      <c r="H4" s="159"/>
      <c r="I4" s="159"/>
      <c r="J4" s="159"/>
      <c r="K4" s="149"/>
      <c r="L4" s="149"/>
      <c r="M4" s="149"/>
      <c r="N4" s="149"/>
      <c r="O4" s="149"/>
      <c r="P4" s="149"/>
      <c r="Q4" s="149"/>
      <c r="R4" s="143"/>
    </row>
    <row r="5" spans="1:18" ht="12.75">
      <c r="A5" s="141" t="s">
        <v>25</v>
      </c>
      <c r="B5" s="142"/>
      <c r="C5" s="187"/>
      <c r="D5" s="159"/>
      <c r="E5" s="191"/>
      <c r="F5" s="159"/>
      <c r="G5" s="159"/>
      <c r="H5" s="159"/>
      <c r="I5" s="159"/>
      <c r="J5" s="159"/>
      <c r="K5" s="149"/>
      <c r="L5" s="149"/>
      <c r="M5" s="149"/>
      <c r="N5" s="149"/>
      <c r="O5" s="149"/>
      <c r="P5" s="149"/>
      <c r="Q5" s="149"/>
      <c r="R5" s="143"/>
    </row>
    <row r="6" spans="1:18" ht="12.75">
      <c r="A6" s="141" t="s">
        <v>18</v>
      </c>
      <c r="B6" s="142"/>
      <c r="C6" s="187"/>
      <c r="D6" s="159"/>
      <c r="E6" s="191"/>
      <c r="F6" s="159"/>
      <c r="G6" s="159"/>
      <c r="H6" s="159"/>
      <c r="I6" s="159"/>
      <c r="J6" s="159"/>
      <c r="K6" s="149"/>
      <c r="L6" s="149"/>
      <c r="M6" s="149"/>
      <c r="N6" s="149"/>
      <c r="O6" s="149"/>
      <c r="P6" s="149"/>
      <c r="Q6" s="149"/>
      <c r="R6" s="143"/>
    </row>
    <row r="7" spans="1:18" ht="12.75">
      <c r="A7" s="141" t="s">
        <v>87</v>
      </c>
      <c r="B7" s="142"/>
      <c r="C7" s="187"/>
      <c r="D7" s="159"/>
      <c r="E7" s="191"/>
      <c r="F7" s="159"/>
      <c r="G7" s="159"/>
      <c r="H7" s="159"/>
      <c r="I7" s="159"/>
      <c r="J7" s="159"/>
      <c r="K7" s="149"/>
      <c r="L7" s="149"/>
      <c r="M7" s="149"/>
      <c r="N7" s="149"/>
      <c r="O7" s="149"/>
      <c r="P7" s="149"/>
      <c r="Q7" s="149"/>
      <c r="R7" s="143"/>
    </row>
    <row r="8" spans="1:18" ht="13.5" thickBot="1">
      <c r="A8" s="144" t="s">
        <v>5</v>
      </c>
      <c r="B8" s="145"/>
      <c r="C8" s="188"/>
      <c r="D8" s="160"/>
      <c r="E8" s="192"/>
      <c r="F8" s="160"/>
      <c r="G8" s="160"/>
      <c r="H8" s="160"/>
      <c r="I8" s="160"/>
      <c r="J8" s="160"/>
      <c r="K8" s="190"/>
      <c r="L8" s="149"/>
      <c r="M8" s="149"/>
      <c r="N8" s="149"/>
      <c r="O8" s="149"/>
      <c r="P8" s="149"/>
      <c r="Q8" s="149"/>
      <c r="R8" s="143"/>
    </row>
    <row r="9" spans="1:18" ht="13.5" thickBot="1">
      <c r="A9" s="146" t="s">
        <v>93</v>
      </c>
      <c r="B9" s="147"/>
      <c r="C9" s="189"/>
      <c r="D9" s="161"/>
      <c r="E9" s="193"/>
      <c r="F9" s="161"/>
      <c r="G9" s="161"/>
      <c r="H9" s="161"/>
      <c r="I9" s="161"/>
      <c r="J9" s="161"/>
      <c r="K9" s="150"/>
      <c r="L9" s="150"/>
      <c r="M9" s="150"/>
      <c r="N9" s="150"/>
      <c r="O9" s="150"/>
      <c r="P9" s="150"/>
      <c r="Q9" s="150"/>
      <c r="R9" s="148"/>
    </row>
    <row r="10" spans="11:18" ht="12.75">
      <c r="K10" s="7"/>
      <c r="L10" s="7"/>
      <c r="M10" s="7"/>
      <c r="N10" s="7"/>
      <c r="O10" s="7"/>
      <c r="P10" s="7"/>
      <c r="Q10" s="7"/>
      <c r="R10" s="7"/>
    </row>
    <row r="11" spans="2:18" ht="13.5" thickBot="1">
      <c r="B11" s="3"/>
      <c r="C11" s="3"/>
      <c r="D11" s="151"/>
      <c r="E11" s="151"/>
      <c r="F11" s="151"/>
      <c r="G11" s="151"/>
      <c r="H11" s="151"/>
      <c r="I11" s="151"/>
      <c r="J11" s="151"/>
      <c r="K11" s="151"/>
      <c r="L11" s="151"/>
      <c r="M11" s="151"/>
      <c r="N11" s="151"/>
      <c r="O11" s="151"/>
      <c r="P11" s="151"/>
      <c r="Q11" s="151"/>
      <c r="R11" s="151"/>
    </row>
    <row r="12" spans="1:18" ht="13.5" thickBot="1">
      <c r="A12" s="34" t="s">
        <v>92</v>
      </c>
      <c r="B12" s="17" t="s">
        <v>182</v>
      </c>
      <c r="C12" s="174" t="s">
        <v>183</v>
      </c>
      <c r="D12" s="55" t="s">
        <v>177</v>
      </c>
      <c r="E12" s="31">
        <v>44896</v>
      </c>
      <c r="F12" s="18">
        <v>44531</v>
      </c>
      <c r="G12" s="18">
        <v>44166</v>
      </c>
      <c r="H12" s="209">
        <v>43800</v>
      </c>
      <c r="I12" s="18">
        <v>43435</v>
      </c>
      <c r="J12" s="18">
        <v>43070</v>
      </c>
      <c r="K12" s="18">
        <v>42705</v>
      </c>
      <c r="L12" s="18">
        <f>L1</f>
        <v>42339</v>
      </c>
      <c r="M12" s="18">
        <f>M1</f>
        <v>41974</v>
      </c>
      <c r="N12" s="18">
        <v>41609</v>
      </c>
      <c r="O12" s="18">
        <v>41244</v>
      </c>
      <c r="P12" s="18">
        <v>40878</v>
      </c>
      <c r="Q12" s="18">
        <v>40513</v>
      </c>
      <c r="R12" s="140">
        <v>40148</v>
      </c>
    </row>
    <row r="13" spans="1:18" ht="13.5" thickBot="1">
      <c r="A13" s="37" t="s">
        <v>150</v>
      </c>
      <c r="B13" s="38"/>
      <c r="C13" s="183"/>
      <c r="D13" s="162"/>
      <c r="E13" s="194"/>
      <c r="F13" s="162"/>
      <c r="G13" s="162"/>
      <c r="H13" s="162"/>
      <c r="I13" s="162"/>
      <c r="J13" s="162"/>
      <c r="K13" s="71"/>
      <c r="L13" s="71"/>
      <c r="M13" s="71"/>
      <c r="N13" s="71"/>
      <c r="O13" s="71"/>
      <c r="P13" s="71"/>
      <c r="Q13" s="71"/>
      <c r="R13" s="72"/>
    </row>
    <row r="14" spans="1:18" ht="13.5" thickBot="1">
      <c r="A14" s="34" t="s">
        <v>93</v>
      </c>
      <c r="B14" s="50"/>
      <c r="C14" s="181"/>
      <c r="D14" s="163"/>
      <c r="E14" s="195"/>
      <c r="F14" s="163"/>
      <c r="G14" s="163"/>
      <c r="H14" s="163"/>
      <c r="I14" s="163"/>
      <c r="J14" s="163"/>
      <c r="K14" s="102"/>
      <c r="L14" s="102"/>
      <c r="M14" s="102"/>
      <c r="N14" s="102"/>
      <c r="O14" s="102"/>
      <c r="P14" s="102"/>
      <c r="Q14" s="102"/>
      <c r="R14" s="132"/>
    </row>
    <row r="15" ht="12.75">
      <c r="A15" s="33" t="s">
        <v>168</v>
      </c>
    </row>
  </sheetData>
  <sheetProtection/>
  <printOptions/>
  <pageMargins left="0.7" right="0.7" top="0.75" bottom="0.75" header="0.3" footer="0.3"/>
  <pageSetup orientation="portrait" paperSize="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2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9.28125" style="33" customWidth="1"/>
    <col min="2" max="2" width="10.7109375" style="33" customWidth="1"/>
    <col min="3" max="3" width="11.421875" style="33" bestFit="1" customWidth="1"/>
    <col min="4" max="4" width="11.8515625" style="33" bestFit="1" customWidth="1"/>
    <col min="5" max="5" width="11.8515625" style="33" customWidth="1"/>
    <col min="6" max="8" width="11.8515625" style="84" customWidth="1"/>
    <col min="9" max="9" width="11.421875" style="65" bestFit="1" customWidth="1"/>
    <col min="10" max="10" width="11.421875" style="65" customWidth="1"/>
    <col min="11" max="11" width="10.140625" style="33" bestFit="1" customWidth="1"/>
    <col min="12" max="12" width="10.140625" style="59" bestFit="1" customWidth="1"/>
    <col min="13" max="16384" width="9.140625" style="33" customWidth="1"/>
  </cols>
  <sheetData>
    <row r="1" spans="1:12" s="59" customFormat="1" ht="13.5" thickBot="1">
      <c r="A1" s="34" t="s">
        <v>92</v>
      </c>
      <c r="B1" s="17" t="s">
        <v>182</v>
      </c>
      <c r="C1" s="174" t="s">
        <v>183</v>
      </c>
      <c r="D1" s="55" t="s">
        <v>177</v>
      </c>
      <c r="E1" s="31">
        <v>44896</v>
      </c>
      <c r="F1" s="18">
        <v>44531</v>
      </c>
      <c r="G1" s="18">
        <v>44166</v>
      </c>
      <c r="H1" s="18">
        <v>43800</v>
      </c>
      <c r="I1" s="18">
        <v>43435</v>
      </c>
      <c r="J1" s="18">
        <v>43070</v>
      </c>
      <c r="K1" s="18">
        <v>42705</v>
      </c>
      <c r="L1" s="58">
        <v>42339</v>
      </c>
    </row>
    <row r="2" spans="1:12" ht="12.75">
      <c r="A2" s="141" t="s">
        <v>10</v>
      </c>
      <c r="B2" s="68"/>
      <c r="C2" s="198"/>
      <c r="D2" s="43"/>
      <c r="E2" s="69"/>
      <c r="F2" s="43"/>
      <c r="G2" s="43"/>
      <c r="H2" s="43"/>
      <c r="I2" s="43"/>
      <c r="J2" s="43"/>
      <c r="K2" s="43"/>
      <c r="L2" s="70"/>
    </row>
    <row r="3" spans="1:16" ht="12.75">
      <c r="A3" s="141" t="s">
        <v>60</v>
      </c>
      <c r="B3" s="68"/>
      <c r="C3" s="198"/>
      <c r="D3" s="43"/>
      <c r="E3" s="69"/>
      <c r="F3" s="43"/>
      <c r="G3" s="43"/>
      <c r="H3" s="43"/>
      <c r="I3" s="43"/>
      <c r="J3" s="43"/>
      <c r="K3" s="43"/>
      <c r="L3" s="70"/>
      <c r="M3" s="85"/>
      <c r="N3" s="85"/>
      <c r="O3" s="85"/>
      <c r="P3" s="85"/>
    </row>
    <row r="4" spans="1:16" ht="12.75">
      <c r="A4" s="141" t="s">
        <v>11</v>
      </c>
      <c r="B4" s="68"/>
      <c r="C4" s="198"/>
      <c r="D4" s="43"/>
      <c r="E4" s="69"/>
      <c r="F4" s="43"/>
      <c r="G4" s="43"/>
      <c r="H4" s="43"/>
      <c r="I4" s="43"/>
      <c r="J4" s="43"/>
      <c r="K4" s="43"/>
      <c r="L4" s="70"/>
      <c r="M4" s="85"/>
      <c r="N4" s="85"/>
      <c r="O4" s="85"/>
      <c r="P4" s="85"/>
    </row>
    <row r="5" spans="1:12" ht="12.75">
      <c r="A5" s="141" t="s">
        <v>8</v>
      </c>
      <c r="B5" s="68"/>
      <c r="C5" s="198"/>
      <c r="D5" s="43"/>
      <c r="E5" s="69"/>
      <c r="F5" s="43"/>
      <c r="G5" s="43"/>
      <c r="H5" s="43"/>
      <c r="I5" s="43"/>
      <c r="J5" s="43"/>
      <c r="K5" s="43"/>
      <c r="L5" s="70"/>
    </row>
    <row r="6" spans="1:12" ht="12.75">
      <c r="A6" s="141" t="s">
        <v>2</v>
      </c>
      <c r="B6" s="68"/>
      <c r="C6" s="198"/>
      <c r="D6" s="43"/>
      <c r="E6" s="69"/>
      <c r="F6" s="43"/>
      <c r="G6" s="43"/>
      <c r="H6" s="43"/>
      <c r="I6" s="43"/>
      <c r="J6" s="43"/>
      <c r="K6" s="43"/>
      <c r="L6" s="70"/>
    </row>
    <row r="7" spans="1:12" ht="12.75">
      <c r="A7" s="141" t="s">
        <v>9</v>
      </c>
      <c r="B7" s="68"/>
      <c r="C7" s="198"/>
      <c r="D7" s="43"/>
      <c r="E7" s="69"/>
      <c r="F7" s="43"/>
      <c r="G7" s="43"/>
      <c r="H7" s="43"/>
      <c r="I7" s="43"/>
      <c r="J7" s="43"/>
      <c r="K7" s="43"/>
      <c r="L7" s="70"/>
    </row>
    <row r="8" spans="1:12" ht="12.75">
      <c r="A8" s="141" t="s">
        <v>26</v>
      </c>
      <c r="B8" s="68"/>
      <c r="C8" s="198"/>
      <c r="D8" s="43"/>
      <c r="E8" s="69"/>
      <c r="F8" s="43"/>
      <c r="G8" s="43"/>
      <c r="H8" s="43"/>
      <c r="I8" s="43"/>
      <c r="J8" s="43"/>
      <c r="K8" s="43"/>
      <c r="L8" s="70"/>
    </row>
    <row r="9" spans="1:12" ht="12.75">
      <c r="A9" s="141" t="s">
        <v>12</v>
      </c>
      <c r="B9" s="68"/>
      <c r="C9" s="198"/>
      <c r="D9" s="43"/>
      <c r="E9" s="69"/>
      <c r="F9" s="43"/>
      <c r="G9" s="43"/>
      <c r="H9" s="43"/>
      <c r="I9" s="108"/>
      <c r="J9" s="108"/>
      <c r="K9" s="43"/>
      <c r="L9" s="229"/>
    </row>
    <row r="10" spans="1:12" ht="13.5" thickBot="1">
      <c r="A10" s="141" t="s">
        <v>5</v>
      </c>
      <c r="B10" s="68"/>
      <c r="C10" s="198"/>
      <c r="D10" s="43"/>
      <c r="E10" s="69"/>
      <c r="F10" s="43"/>
      <c r="G10" s="43"/>
      <c r="H10" s="43"/>
      <c r="I10" s="108"/>
      <c r="J10" s="108"/>
      <c r="K10" s="43"/>
      <c r="L10" s="229"/>
    </row>
    <row r="11" spans="1:12" ht="13.5" thickBot="1">
      <c r="A11" s="216" t="s">
        <v>93</v>
      </c>
      <c r="B11" s="50"/>
      <c r="C11" s="197"/>
      <c r="D11" s="102"/>
      <c r="E11" s="51"/>
      <c r="F11" s="102"/>
      <c r="G11" s="102"/>
      <c r="H11" s="102"/>
      <c r="I11" s="102"/>
      <c r="J11" s="102"/>
      <c r="K11" s="102"/>
      <c r="L11" s="132"/>
    </row>
    <row r="12" spans="2:12" s="84" customFormat="1" ht="12.75">
      <c r="B12" s="82"/>
      <c r="C12" s="82"/>
      <c r="D12" s="82"/>
      <c r="E12" s="82"/>
      <c r="F12" s="82"/>
      <c r="G12" s="82"/>
      <c r="H12" s="82"/>
      <c r="I12" s="65"/>
      <c r="J12" s="65"/>
      <c r="K12" s="82"/>
      <c r="L12" s="65"/>
    </row>
    <row r="13" spans="2:12" s="84" customFormat="1" ht="13.5" thickBot="1">
      <c r="B13" s="82"/>
      <c r="C13" s="82"/>
      <c r="D13" s="82"/>
      <c r="E13" s="82"/>
      <c r="F13" s="82"/>
      <c r="G13" s="82"/>
      <c r="H13" s="82"/>
      <c r="I13" s="65"/>
      <c r="J13" s="65"/>
      <c r="K13" s="82"/>
      <c r="L13" s="65"/>
    </row>
    <row r="14" spans="1:12" s="59" customFormat="1" ht="13.5" thickBot="1">
      <c r="A14" s="34" t="s">
        <v>92</v>
      </c>
      <c r="B14" s="17" t="s">
        <v>182</v>
      </c>
      <c r="C14" s="174" t="s">
        <v>183</v>
      </c>
      <c r="D14" s="55" t="s">
        <v>177</v>
      </c>
      <c r="E14" s="31">
        <v>44896</v>
      </c>
      <c r="F14" s="18">
        <v>44531</v>
      </c>
      <c r="G14" s="18">
        <v>44166</v>
      </c>
      <c r="H14" s="18">
        <v>43800</v>
      </c>
      <c r="I14" s="18">
        <v>43435</v>
      </c>
      <c r="J14" s="18">
        <v>43070</v>
      </c>
      <c r="K14" s="18">
        <v>42705</v>
      </c>
      <c r="L14" s="58">
        <v>42339</v>
      </c>
    </row>
    <row r="15" spans="1:12" ht="12.75">
      <c r="A15" s="141" t="s">
        <v>6</v>
      </c>
      <c r="B15" s="68"/>
      <c r="C15" s="198"/>
      <c r="D15" s="43"/>
      <c r="E15" s="69"/>
      <c r="F15" s="43"/>
      <c r="G15" s="43"/>
      <c r="H15" s="43"/>
      <c r="I15" s="43"/>
      <c r="J15" s="43"/>
      <c r="K15" s="43"/>
      <c r="L15" s="70"/>
    </row>
    <row r="16" spans="1:12" ht="12.75">
      <c r="A16" s="141" t="s">
        <v>123</v>
      </c>
      <c r="B16" s="68"/>
      <c r="C16" s="198"/>
      <c r="D16" s="43"/>
      <c r="E16" s="69"/>
      <c r="F16" s="43"/>
      <c r="G16" s="43"/>
      <c r="H16" s="43"/>
      <c r="I16" s="43"/>
      <c r="J16" s="43"/>
      <c r="K16" s="43"/>
      <c r="L16" s="70"/>
    </row>
    <row r="17" spans="1:13" ht="13.5" thickBot="1">
      <c r="A17" s="141" t="s">
        <v>5</v>
      </c>
      <c r="B17" s="68"/>
      <c r="C17" s="198"/>
      <c r="D17" s="43"/>
      <c r="E17" s="69"/>
      <c r="F17" s="43"/>
      <c r="G17" s="43"/>
      <c r="H17" s="43"/>
      <c r="I17" s="43"/>
      <c r="J17" s="43"/>
      <c r="K17" s="43"/>
      <c r="L17" s="70"/>
      <c r="M17" s="32"/>
    </row>
    <row r="18" spans="1:12" ht="13.5" thickBot="1">
      <c r="A18" s="16" t="s">
        <v>93</v>
      </c>
      <c r="B18" s="168"/>
      <c r="C18" s="226"/>
      <c r="D18" s="212"/>
      <c r="E18" s="227"/>
      <c r="F18" s="212"/>
      <c r="G18" s="212"/>
      <c r="H18" s="212"/>
      <c r="I18" s="212"/>
      <c r="J18" s="212"/>
      <c r="K18" s="228"/>
      <c r="L18" s="230"/>
    </row>
    <row r="20" ht="12.75">
      <c r="A20" s="65"/>
    </row>
  </sheetData>
  <sheetProtection/>
  <printOptions/>
  <pageMargins left="0.7" right="0.7" top="0.75" bottom="0.75" header="0.3" footer="0.3"/>
  <pageSetup orientation="portrait" paperSize="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A3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9.28125" style="33" customWidth="1"/>
    <col min="2" max="2" width="10.7109375" style="33" customWidth="1"/>
    <col min="3" max="4" width="11.421875" style="33" bestFit="1" customWidth="1"/>
    <col min="5" max="5" width="11.421875" style="33" customWidth="1"/>
    <col min="6" max="8" width="11.421875" style="84" customWidth="1"/>
    <col min="9" max="10" width="11.140625" style="84" customWidth="1"/>
    <col min="11" max="11" width="10.7109375" style="33" customWidth="1"/>
    <col min="12" max="19" width="10.140625" style="59" bestFit="1" customWidth="1"/>
    <col min="20" max="21" width="10.140625" style="33" bestFit="1" customWidth="1"/>
    <col min="22" max="16384" width="9.140625" style="33" customWidth="1"/>
  </cols>
  <sheetData>
    <row r="1" spans="1:21" s="59" customFormat="1" ht="13.5" thickBot="1">
      <c r="A1" s="34" t="s">
        <v>23</v>
      </c>
      <c r="B1" s="17" t="s">
        <v>182</v>
      </c>
      <c r="C1" s="174" t="s">
        <v>183</v>
      </c>
      <c r="D1" s="55" t="s">
        <v>177</v>
      </c>
      <c r="E1" s="31">
        <v>44896</v>
      </c>
      <c r="F1" s="18">
        <v>44531</v>
      </c>
      <c r="G1" s="18">
        <v>44166</v>
      </c>
      <c r="H1" s="18">
        <v>43800</v>
      </c>
      <c r="I1" s="18">
        <v>43435</v>
      </c>
      <c r="J1" s="18">
        <v>43070</v>
      </c>
      <c r="K1" s="18">
        <v>42705</v>
      </c>
      <c r="L1" s="57">
        <v>42339</v>
      </c>
      <c r="M1" s="57">
        <v>41974</v>
      </c>
      <c r="N1" s="57">
        <v>41609</v>
      </c>
      <c r="O1" s="57">
        <v>41244</v>
      </c>
      <c r="P1" s="57">
        <v>40878</v>
      </c>
      <c r="Q1" s="57">
        <v>40513</v>
      </c>
      <c r="R1" s="57">
        <v>40148</v>
      </c>
      <c r="S1" s="57">
        <v>39783</v>
      </c>
      <c r="T1" s="35">
        <v>39417</v>
      </c>
      <c r="U1" s="98">
        <v>39052</v>
      </c>
    </row>
    <row r="2" spans="1:21" ht="12.75">
      <c r="A2" s="67" t="s">
        <v>126</v>
      </c>
      <c r="B2" s="68">
        <f aca="true" t="shared" si="0" ref="B2:B8">(E2-F2)/F2</f>
        <v>-0.0821585677930117</v>
      </c>
      <c r="C2" s="198">
        <f>E2-'[1]Spain'!C2</f>
        <v>2642.7454123459684</v>
      </c>
      <c r="D2" s="43">
        <f>F2-'[1]Spain'!D2</f>
        <v>3459.2068283793014</v>
      </c>
      <c r="E2" s="69">
        <v>19843.898150227265</v>
      </c>
      <c r="F2" s="43">
        <v>21620.181279583096</v>
      </c>
      <c r="G2" s="43">
        <v>19820.965164330286</v>
      </c>
      <c r="H2" s="43">
        <v>27594.059481063272</v>
      </c>
      <c r="I2" s="43">
        <v>26806.301271697524</v>
      </c>
      <c r="J2" s="43">
        <v>18963</v>
      </c>
      <c r="K2" s="43">
        <v>23980.13233051719</v>
      </c>
      <c r="L2" s="43">
        <v>21091.563978834696</v>
      </c>
      <c r="M2" s="43">
        <v>19367.057742851477</v>
      </c>
      <c r="N2" s="43">
        <v>18251.537888850202</v>
      </c>
      <c r="O2" s="43">
        <v>11399</v>
      </c>
      <c r="P2" s="43">
        <v>16300</v>
      </c>
      <c r="Q2" s="43">
        <v>16964</v>
      </c>
      <c r="R2" s="43">
        <v>12154</v>
      </c>
      <c r="S2" s="43">
        <v>16054</v>
      </c>
      <c r="T2" s="43">
        <v>17111</v>
      </c>
      <c r="U2" s="42">
        <v>8901</v>
      </c>
    </row>
    <row r="3" spans="1:21" ht="12.75">
      <c r="A3" s="67" t="s">
        <v>127</v>
      </c>
      <c r="B3" s="68">
        <f t="shared" si="0"/>
        <v>-0.2903349292104305</v>
      </c>
      <c r="C3" s="198">
        <f>E3-'[1]Spain'!C3</f>
        <v>-7034.360830328529</v>
      </c>
      <c r="D3" s="43">
        <f>F3-'[1]Spain'!D3</f>
        <v>-8147.751582081706</v>
      </c>
      <c r="E3" s="69">
        <v>16254.126321271571</v>
      </c>
      <c r="F3" s="43">
        <v>22903.94016882826</v>
      </c>
      <c r="G3" s="43">
        <v>17775.04632320517</v>
      </c>
      <c r="H3" s="43">
        <v>21673.397933309396</v>
      </c>
      <c r="I3" s="43">
        <v>14863.06621287886</v>
      </c>
      <c r="J3" s="43">
        <v>13943</v>
      </c>
      <c r="K3" s="43">
        <v>19024.393281473887</v>
      </c>
      <c r="L3" s="43">
        <v>12068.416704805642</v>
      </c>
      <c r="M3" s="43">
        <v>14446.001697970456</v>
      </c>
      <c r="N3" s="43">
        <v>8142.942660444301</v>
      </c>
      <c r="O3" s="43">
        <v>6545</v>
      </c>
      <c r="P3" s="43">
        <v>11990</v>
      </c>
      <c r="Q3" s="43">
        <v>13792</v>
      </c>
      <c r="R3" s="43">
        <v>9512</v>
      </c>
      <c r="S3" s="43">
        <v>13255</v>
      </c>
      <c r="T3" s="43">
        <v>17419</v>
      </c>
      <c r="U3" s="42">
        <v>6713</v>
      </c>
    </row>
    <row r="4" spans="1:21" ht="12.75">
      <c r="A4" s="67" t="s">
        <v>128</v>
      </c>
      <c r="B4" s="68">
        <f t="shared" si="0"/>
        <v>-0.3214246750087395</v>
      </c>
      <c r="C4" s="198">
        <f>E4-'[1]Spain'!C4</f>
        <v>-15805.148863079841</v>
      </c>
      <c r="D4" s="43">
        <f>F4-'[1]Spain'!D4</f>
        <v>-13378.751476289006</v>
      </c>
      <c r="E4" s="69">
        <v>98847.78473662726</v>
      </c>
      <c r="F4" s="43">
        <v>145669.5831636677</v>
      </c>
      <c r="G4" s="43">
        <v>96231.29612684996</v>
      </c>
      <c r="H4" s="43">
        <v>178437.2539928956</v>
      </c>
      <c r="I4" s="43">
        <v>128115.07014459818</v>
      </c>
      <c r="J4" s="43">
        <v>129740</v>
      </c>
      <c r="K4" s="43">
        <v>156729.04370508128</v>
      </c>
      <c r="L4" s="43">
        <v>121790.56843934231</v>
      </c>
      <c r="M4" s="43">
        <v>149574.31837674047</v>
      </c>
      <c r="N4" s="43">
        <v>129405.15906553823</v>
      </c>
      <c r="O4" s="43">
        <v>99596</v>
      </c>
      <c r="P4" s="43">
        <v>145494</v>
      </c>
      <c r="Q4" s="43">
        <v>143074</v>
      </c>
      <c r="R4" s="43">
        <v>112319</v>
      </c>
      <c r="S4" s="43">
        <v>140259</v>
      </c>
      <c r="T4" s="43">
        <v>124954</v>
      </c>
      <c r="U4" s="42">
        <v>120281</v>
      </c>
    </row>
    <row r="5" spans="1:21" ht="12.75">
      <c r="A5" s="67" t="s">
        <v>16</v>
      </c>
      <c r="B5" s="68">
        <f t="shared" si="0"/>
        <v>-0.39179856112432715</v>
      </c>
      <c r="C5" s="198">
        <f>E5-'[1]Spain'!C5</f>
        <v>-1399.8840776638099</v>
      </c>
      <c r="D5" s="43">
        <f>F5-'[1]Spain'!D5</f>
        <v>-484.21501309743326</v>
      </c>
      <c r="E5" s="69">
        <v>17214.293764776805</v>
      </c>
      <c r="F5" s="43">
        <v>28303.605786594846</v>
      </c>
      <c r="G5" s="43">
        <v>17415.944983597343</v>
      </c>
      <c r="H5" s="43">
        <v>26990.137924779632</v>
      </c>
      <c r="I5" s="43">
        <v>22689.884267706868</v>
      </c>
      <c r="J5" s="43">
        <v>21873</v>
      </c>
      <c r="K5" s="43">
        <v>20887.990238155246</v>
      </c>
      <c r="L5" s="43">
        <v>18453.939691443353</v>
      </c>
      <c r="M5" s="43">
        <v>16680.08860896732</v>
      </c>
      <c r="N5" s="43">
        <v>16809.58674786903</v>
      </c>
      <c r="O5" s="43">
        <v>10204</v>
      </c>
      <c r="P5" s="43">
        <v>11788</v>
      </c>
      <c r="Q5" s="43">
        <v>9070</v>
      </c>
      <c r="R5" s="43">
        <v>12329</v>
      </c>
      <c r="S5" s="43">
        <v>9746</v>
      </c>
      <c r="T5" s="43">
        <v>7898</v>
      </c>
      <c r="U5" s="42">
        <v>6124</v>
      </c>
    </row>
    <row r="6" spans="1:21" ht="12.75">
      <c r="A6" s="107" t="s">
        <v>18</v>
      </c>
      <c r="B6" s="68">
        <f t="shared" si="0"/>
        <v>-0.3910238184859298</v>
      </c>
      <c r="C6" s="198">
        <f>E6-'[1]Spain'!C6</f>
        <v>-1189.6669933117173</v>
      </c>
      <c r="D6" s="43">
        <f>F6-'[1]Spain'!D6</f>
        <v>-2006.0049461975432</v>
      </c>
      <c r="E6" s="69">
        <v>10942.046419945158</v>
      </c>
      <c r="F6" s="43">
        <v>17967.938241427502</v>
      </c>
      <c r="G6" s="43">
        <v>11842.796550250374</v>
      </c>
      <c r="H6" s="43">
        <v>19745.0115115941</v>
      </c>
      <c r="I6" s="43">
        <v>17644.687647089344</v>
      </c>
      <c r="J6" s="43">
        <v>16224</v>
      </c>
      <c r="K6" s="43">
        <v>16862.203924092486</v>
      </c>
      <c r="L6" s="108">
        <v>16693.184859854653</v>
      </c>
      <c r="M6" s="108">
        <v>15730.251222251934</v>
      </c>
      <c r="N6" s="108">
        <v>13443.717007729632</v>
      </c>
      <c r="O6" s="108">
        <v>9836</v>
      </c>
      <c r="P6" s="108">
        <v>15718</v>
      </c>
      <c r="Q6" s="108">
        <v>17463</v>
      </c>
      <c r="R6" s="108">
        <v>14600</v>
      </c>
      <c r="S6" s="108">
        <v>28559</v>
      </c>
      <c r="T6" s="43">
        <v>23082</v>
      </c>
      <c r="U6" s="42">
        <v>22290</v>
      </c>
    </row>
    <row r="7" spans="1:21" ht="13.5" thickBot="1">
      <c r="A7" s="110" t="s">
        <v>58</v>
      </c>
      <c r="B7" s="74">
        <f t="shared" si="0"/>
        <v>-0.09166382135569422</v>
      </c>
      <c r="C7" s="199">
        <f>E7-'[1]Spain'!C7</f>
        <v>8543.757216218446</v>
      </c>
      <c r="D7" s="76">
        <f>F7-'[1]Spain'!D7</f>
        <v>12134.168591634801</v>
      </c>
      <c r="E7" s="75">
        <v>20271.72</v>
      </c>
      <c r="F7" s="76">
        <v>22317.42</v>
      </c>
      <c r="G7" s="76">
        <v>19652.52</v>
      </c>
      <c r="H7" s="76">
        <v>22723.52</v>
      </c>
      <c r="I7" s="76">
        <v>15777.255000000001</v>
      </c>
      <c r="J7" s="76">
        <v>13639</v>
      </c>
      <c r="K7" s="76">
        <v>11304</v>
      </c>
      <c r="L7" s="111">
        <v>10992.6</v>
      </c>
      <c r="M7" s="111">
        <v>11292.54</v>
      </c>
      <c r="N7" s="111">
        <v>9866.527</v>
      </c>
      <c r="O7" s="111">
        <v>8275</v>
      </c>
      <c r="P7" s="111">
        <v>11292</v>
      </c>
      <c r="Q7" s="111">
        <v>8820</v>
      </c>
      <c r="R7" s="111">
        <v>7850</v>
      </c>
      <c r="S7" s="111">
        <v>9242</v>
      </c>
      <c r="T7" s="76">
        <v>7696</v>
      </c>
      <c r="U7" s="48">
        <v>6984</v>
      </c>
    </row>
    <row r="8" spans="1:21" ht="13.5" thickBot="1">
      <c r="A8" s="112" t="s">
        <v>22</v>
      </c>
      <c r="B8" s="78">
        <f t="shared" si="0"/>
        <v>-0.2913981822798464</v>
      </c>
      <c r="C8" s="200">
        <f>E8-'[1]Spain'!C8</f>
        <v>-14242.558135819447</v>
      </c>
      <c r="D8" s="80">
        <f>F8-'[1]Spain'!D8</f>
        <v>-8423.347597651533</v>
      </c>
      <c r="E8" s="79">
        <f>SUM(E2:E7)</f>
        <v>183373.86939284808</v>
      </c>
      <c r="F8" s="80">
        <f>SUM(F2:F7)</f>
        <v>258782.66864010144</v>
      </c>
      <c r="G8" s="80">
        <f>SUM(G2:G7)</f>
        <v>182738.56914823313</v>
      </c>
      <c r="H8" s="80">
        <f>SUM(H2:H7)</f>
        <v>297163.380843642</v>
      </c>
      <c r="I8" s="80">
        <v>225896</v>
      </c>
      <c r="J8" s="80">
        <v>214382</v>
      </c>
      <c r="K8" s="80">
        <f>SUM(K2:K7)</f>
        <v>248787.76347932007</v>
      </c>
      <c r="L8" s="80">
        <f>SUM(L2:L7)</f>
        <v>201090.27367428067</v>
      </c>
      <c r="M8" s="80">
        <f>SUM(M2:M7)</f>
        <v>227090.25764878167</v>
      </c>
      <c r="N8" s="80">
        <f>SUM(N2:N7)</f>
        <v>195919.4703704314</v>
      </c>
      <c r="O8" s="80">
        <f>SUM(O2:O7)</f>
        <v>145855</v>
      </c>
      <c r="P8" s="80">
        <f aca="true" t="shared" si="1" ref="P8:U8">SUM(P2:P7)</f>
        <v>212582</v>
      </c>
      <c r="Q8" s="80">
        <f t="shared" si="1"/>
        <v>209183</v>
      </c>
      <c r="R8" s="80">
        <f t="shared" si="1"/>
        <v>168764</v>
      </c>
      <c r="S8" s="80">
        <f t="shared" si="1"/>
        <v>217115</v>
      </c>
      <c r="T8" s="80">
        <f t="shared" si="1"/>
        <v>198160</v>
      </c>
      <c r="U8" s="103">
        <f t="shared" si="1"/>
        <v>171293</v>
      </c>
    </row>
    <row r="9" spans="2:19" s="84" customFormat="1" ht="12.75">
      <c r="B9" s="82"/>
      <c r="C9" s="82"/>
      <c r="D9" s="82"/>
      <c r="E9" s="82"/>
      <c r="F9" s="82"/>
      <c r="G9" s="82"/>
      <c r="H9" s="82"/>
      <c r="I9" s="82"/>
      <c r="J9" s="82"/>
      <c r="K9" s="82"/>
      <c r="L9" s="65"/>
      <c r="M9" s="65"/>
      <c r="N9" s="65"/>
      <c r="O9" s="65"/>
      <c r="P9" s="65"/>
      <c r="Q9" s="65"/>
      <c r="R9" s="65"/>
      <c r="S9" s="65"/>
    </row>
    <row r="10" spans="2:19" s="84" customFormat="1" ht="13.5" thickBot="1"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65"/>
      <c r="M10" s="65"/>
      <c r="N10" s="65"/>
      <c r="O10" s="65"/>
      <c r="P10" s="65"/>
      <c r="Q10" s="65"/>
      <c r="R10" s="65"/>
      <c r="S10" s="65"/>
    </row>
    <row r="11" spans="1:21" s="59" customFormat="1" ht="13.5" thickBot="1">
      <c r="A11" s="34" t="s">
        <v>24</v>
      </c>
      <c r="B11" s="17" t="s">
        <v>182</v>
      </c>
      <c r="C11" s="174" t="s">
        <v>183</v>
      </c>
      <c r="D11" s="55" t="s">
        <v>177</v>
      </c>
      <c r="E11" s="31">
        <v>44896</v>
      </c>
      <c r="F11" s="18">
        <v>44531</v>
      </c>
      <c r="G11" s="18">
        <v>44166</v>
      </c>
      <c r="H11" s="18">
        <v>43800</v>
      </c>
      <c r="I11" s="18">
        <v>43435</v>
      </c>
      <c r="J11" s="18">
        <v>43070</v>
      </c>
      <c r="K11" s="18">
        <v>42705</v>
      </c>
      <c r="L11" s="57">
        <f>L1</f>
        <v>42339</v>
      </c>
      <c r="M11" s="57">
        <f>M1</f>
        <v>41974</v>
      </c>
      <c r="N11" s="57">
        <v>41609</v>
      </c>
      <c r="O11" s="57">
        <v>41244</v>
      </c>
      <c r="P11" s="57">
        <v>40878</v>
      </c>
      <c r="Q11" s="57">
        <v>40513</v>
      </c>
      <c r="R11" s="57">
        <v>40148</v>
      </c>
      <c r="S11" s="57">
        <v>39783</v>
      </c>
      <c r="T11" s="35">
        <v>39417</v>
      </c>
      <c r="U11" s="98">
        <v>39052</v>
      </c>
    </row>
    <row r="12" spans="1:21" ht="12.75">
      <c r="A12" s="67" t="s">
        <v>37</v>
      </c>
      <c r="B12" s="68">
        <f aca="true" t="shared" si="2" ref="B12:B17">(E12-F12)/F12</f>
        <v>-0.10790177490897701</v>
      </c>
      <c r="C12" s="198">
        <f>E12-'[1]Spain'!C12</f>
        <v>-990.5645381288277</v>
      </c>
      <c r="D12" s="43">
        <f>F12-'[1]Spain'!D12</f>
        <v>-1520.4771144769306</v>
      </c>
      <c r="E12" s="69">
        <v>1762.8958145679971</v>
      </c>
      <c r="F12" s="43">
        <v>1976.122992945227</v>
      </c>
      <c r="G12" s="43">
        <v>4105.9411879520385</v>
      </c>
      <c r="H12" s="43">
        <v>5554.006995297585</v>
      </c>
      <c r="I12" s="43">
        <v>3760.4451204598063</v>
      </c>
      <c r="J12" s="43">
        <v>5055</v>
      </c>
      <c r="K12" s="43">
        <v>5129.39371472157</v>
      </c>
      <c r="L12" s="43">
        <v>3983.7321032926498</v>
      </c>
      <c r="M12" s="43">
        <v>4652</v>
      </c>
      <c r="N12" s="43">
        <v>8768.206793522791</v>
      </c>
      <c r="O12" s="43">
        <v>4190</v>
      </c>
      <c r="P12" s="43">
        <v>9131</v>
      </c>
      <c r="Q12" s="43">
        <v>7869</v>
      </c>
      <c r="R12" s="43">
        <v>7480</v>
      </c>
      <c r="S12" s="43">
        <v>6250</v>
      </c>
      <c r="T12" s="43">
        <v>8339</v>
      </c>
      <c r="U12" s="42">
        <v>9919</v>
      </c>
    </row>
    <row r="13" spans="1:21" ht="12.75">
      <c r="A13" s="67" t="s">
        <v>38</v>
      </c>
      <c r="B13" s="68">
        <f t="shared" si="2"/>
        <v>0.15496588806089856</v>
      </c>
      <c r="C13" s="198">
        <f>E13-'[1]Spain'!C13</f>
        <v>-966.4735078477534</v>
      </c>
      <c r="D13" s="43">
        <f>F13-'[1]Spain'!D13</f>
        <v>-642.6093962934174</v>
      </c>
      <c r="E13" s="69">
        <v>3407.521625835968</v>
      </c>
      <c r="F13" s="43">
        <v>2950.322309134984</v>
      </c>
      <c r="G13" s="43">
        <v>7727.315863773977</v>
      </c>
      <c r="H13" s="43">
        <v>6609.217048400057</v>
      </c>
      <c r="I13" s="43">
        <v>8061.730296140499</v>
      </c>
      <c r="J13" s="43">
        <v>12358</v>
      </c>
      <c r="K13" s="43">
        <v>13998.002729425983</v>
      </c>
      <c r="L13" s="43">
        <v>9967.974369255193</v>
      </c>
      <c r="M13" s="43">
        <v>14886</v>
      </c>
      <c r="N13" s="43">
        <v>15053.32890977768</v>
      </c>
      <c r="O13" s="43">
        <v>11631</v>
      </c>
      <c r="P13" s="43">
        <v>19399</v>
      </c>
      <c r="Q13" s="43">
        <v>25304</v>
      </c>
      <c r="R13" s="43">
        <v>23226</v>
      </c>
      <c r="S13" s="43">
        <v>17519</v>
      </c>
      <c r="T13" s="43">
        <v>36535</v>
      </c>
      <c r="U13" s="42">
        <v>33634</v>
      </c>
    </row>
    <row r="14" spans="1:21" ht="12.75">
      <c r="A14" s="67" t="s">
        <v>6</v>
      </c>
      <c r="B14" s="68">
        <f t="shared" si="2"/>
        <v>-0.3327097098851682</v>
      </c>
      <c r="C14" s="198">
        <f>E14-'[1]Spain'!C14</f>
        <v>-4819.2739592031285</v>
      </c>
      <c r="D14" s="43">
        <f>F14-'[1]Spain'!D14</f>
        <v>-6833.62095333093</v>
      </c>
      <c r="E14" s="69">
        <v>38339.062428119316</v>
      </c>
      <c r="F14" s="43">
        <v>57454.848356210416</v>
      </c>
      <c r="G14" s="43">
        <v>53875.75607786439</v>
      </c>
      <c r="H14" s="43">
        <v>61045.93693799862</v>
      </c>
      <c r="I14" s="43">
        <v>54063.20424354225</v>
      </c>
      <c r="J14" s="43">
        <v>63233</v>
      </c>
      <c r="K14" s="43">
        <v>54244.45931730084</v>
      </c>
      <c r="L14" s="43">
        <v>50763.45752550244</v>
      </c>
      <c r="M14" s="43">
        <v>70184</v>
      </c>
      <c r="N14" s="43">
        <v>79212.41709903683</v>
      </c>
      <c r="O14" s="43">
        <v>49318</v>
      </c>
      <c r="P14" s="43">
        <v>85133</v>
      </c>
      <c r="Q14" s="43">
        <v>81939</v>
      </c>
      <c r="R14" s="43">
        <v>51541</v>
      </c>
      <c r="S14" s="43">
        <v>68293</v>
      </c>
      <c r="T14" s="43">
        <v>47416</v>
      </c>
      <c r="U14" s="42">
        <v>64099</v>
      </c>
    </row>
    <row r="15" spans="1:21" ht="12.75">
      <c r="A15" s="67" t="s">
        <v>129</v>
      </c>
      <c r="B15" s="68">
        <f t="shared" si="2"/>
        <v>0.42301127077542666</v>
      </c>
      <c r="C15" s="198">
        <f>E15-'[1]Spain'!C15</f>
        <v>-947.409516744528</v>
      </c>
      <c r="D15" s="43">
        <f>F15-'[1]Spain'!D15</f>
        <v>-366.31690977414513</v>
      </c>
      <c r="E15" s="69">
        <v>87.78254144072115</v>
      </c>
      <c r="F15" s="43">
        <v>61.687875031999376</v>
      </c>
      <c r="G15" s="43">
        <v>267.0673388690694</v>
      </c>
      <c r="H15" s="43">
        <v>271.52974882065035</v>
      </c>
      <c r="I15" s="43">
        <v>528.3722328267528</v>
      </c>
      <c r="J15" s="43">
        <v>0</v>
      </c>
      <c r="K15" s="43">
        <v>298.1898832777133</v>
      </c>
      <c r="L15" s="43">
        <v>67.10896045883027</v>
      </c>
      <c r="M15" s="43">
        <v>92</v>
      </c>
      <c r="N15" s="43">
        <v>1086.949602544162</v>
      </c>
      <c r="O15" s="43">
        <v>0</v>
      </c>
      <c r="P15" s="43">
        <v>81</v>
      </c>
      <c r="Q15" s="43">
        <v>37</v>
      </c>
      <c r="R15" s="43">
        <v>73</v>
      </c>
      <c r="S15" s="43">
        <v>183</v>
      </c>
      <c r="T15" s="43">
        <v>0</v>
      </c>
      <c r="U15" s="42">
        <v>0</v>
      </c>
    </row>
    <row r="16" spans="1:21" ht="13.5" thickBot="1">
      <c r="A16" s="73" t="s">
        <v>58</v>
      </c>
      <c r="B16" s="74">
        <f t="shared" si="2"/>
        <v>0.37752079779221864</v>
      </c>
      <c r="C16" s="199">
        <f>E16-'[1]Spain'!C16</f>
        <v>-3178.800557134401</v>
      </c>
      <c r="D16" s="76">
        <f>F16-'[1]Spain'!D16</f>
        <v>-2644.4656309960837</v>
      </c>
      <c r="E16" s="75">
        <v>2840.9522572306987</v>
      </c>
      <c r="F16" s="76">
        <v>2062.3661448770517</v>
      </c>
      <c r="G16" s="76">
        <v>4291.246438111831</v>
      </c>
      <c r="H16" s="76">
        <v>5852.137688593027</v>
      </c>
      <c r="I16" s="76">
        <v>5563.32638042582</v>
      </c>
      <c r="J16" s="76">
        <v>5928</v>
      </c>
      <c r="K16" s="76">
        <v>6130.276752904177</v>
      </c>
      <c r="L16" s="76">
        <v>5543.960882821053</v>
      </c>
      <c r="M16" s="76">
        <v>5878</v>
      </c>
      <c r="N16" s="76">
        <v>7440.981382435972</v>
      </c>
      <c r="O16" s="76">
        <v>3929</v>
      </c>
      <c r="P16" s="76">
        <v>12037</v>
      </c>
      <c r="Q16" s="76">
        <v>7887</v>
      </c>
      <c r="R16" s="76">
        <v>5822</v>
      </c>
      <c r="S16" s="76">
        <v>7348</v>
      </c>
      <c r="T16" s="76">
        <v>11657</v>
      </c>
      <c r="U16" s="48">
        <v>13238</v>
      </c>
    </row>
    <row r="17" spans="1:21" ht="13.5" thickBot="1">
      <c r="A17" s="49" t="s">
        <v>22</v>
      </c>
      <c r="B17" s="78">
        <f t="shared" si="2"/>
        <v>-0.28008736734723433</v>
      </c>
      <c r="C17" s="200">
        <f>E17-'[1]Spain'!C17</f>
        <v>-10902.522079058639</v>
      </c>
      <c r="D17" s="80">
        <f>F17-'[1]Spain'!D17</f>
        <v>-12007.490004871499</v>
      </c>
      <c r="E17" s="79">
        <f>SUM(E12:E16)</f>
        <v>46438.2146671947</v>
      </c>
      <c r="F17" s="80">
        <f>SUM(F12:F16)</f>
        <v>64505.34767819968</v>
      </c>
      <c r="G17" s="80">
        <f>SUM(G12:G16)</f>
        <v>70267.3269065713</v>
      </c>
      <c r="H17" s="80">
        <f>SUM(H12:H16)</f>
        <v>79332.82841910994</v>
      </c>
      <c r="I17" s="80">
        <v>71976</v>
      </c>
      <c r="J17" s="80">
        <v>86574</v>
      </c>
      <c r="K17" s="80">
        <f>SUM(K12:K16)</f>
        <v>79800.32239763027</v>
      </c>
      <c r="L17" s="80">
        <f>SUM(L12:L16)</f>
        <v>70326.23384133016</v>
      </c>
      <c r="M17" s="80">
        <f>SUM(M12:M16)</f>
        <v>95692</v>
      </c>
      <c r="N17" s="80">
        <f>SUM(N12:N16)</f>
        <v>111561.88378731743</v>
      </c>
      <c r="O17" s="80">
        <f>SUM(O12:O16)</f>
        <v>69068</v>
      </c>
      <c r="P17" s="80">
        <f aca="true" t="shared" si="3" ref="P17:U17">SUM(P12:P16)</f>
        <v>125781</v>
      </c>
      <c r="Q17" s="80">
        <f t="shared" si="3"/>
        <v>123036</v>
      </c>
      <c r="R17" s="80">
        <f t="shared" si="3"/>
        <v>88142</v>
      </c>
      <c r="S17" s="80">
        <f t="shared" si="3"/>
        <v>99593</v>
      </c>
      <c r="T17" s="80">
        <f t="shared" si="3"/>
        <v>103947</v>
      </c>
      <c r="U17" s="103">
        <f t="shared" si="3"/>
        <v>120890</v>
      </c>
    </row>
    <row r="21" spans="4:27" ht="12.75">
      <c r="D21" s="59"/>
      <c r="E21" s="59"/>
      <c r="F21" s="65"/>
      <c r="G21" s="65"/>
      <c r="H21" s="65"/>
      <c r="I21" s="65"/>
      <c r="J21" s="65"/>
      <c r="K21" s="59"/>
      <c r="T21" s="59"/>
      <c r="U21" s="59"/>
      <c r="V21" s="59"/>
      <c r="W21" s="59"/>
      <c r="X21" s="59"/>
      <c r="Y21" s="59"/>
      <c r="Z21" s="59"/>
      <c r="AA21" s="59"/>
    </row>
    <row r="22" spans="4:27" ht="12.75">
      <c r="D22" s="59"/>
      <c r="E22" s="59"/>
      <c r="F22" s="65"/>
      <c r="G22" s="65"/>
      <c r="H22" s="65"/>
      <c r="I22" s="65"/>
      <c r="J22" s="65"/>
      <c r="K22" s="59"/>
      <c r="T22" s="59"/>
      <c r="U22" s="59"/>
      <c r="V22" s="59"/>
      <c r="W22" s="59"/>
      <c r="X22" s="59"/>
      <c r="Y22" s="59"/>
      <c r="Z22" s="59"/>
      <c r="AA22" s="59"/>
    </row>
    <row r="23" spans="4:27" ht="12.75">
      <c r="D23" s="59"/>
      <c r="E23" s="59"/>
      <c r="F23" s="65"/>
      <c r="G23" s="65"/>
      <c r="H23" s="65"/>
      <c r="I23" s="65"/>
      <c r="J23" s="65"/>
      <c r="K23" s="59"/>
      <c r="T23" s="59"/>
      <c r="U23" s="59"/>
      <c r="V23" s="59"/>
      <c r="W23" s="59"/>
      <c r="X23" s="59"/>
      <c r="Y23" s="59"/>
      <c r="Z23" s="59"/>
      <c r="AA23" s="59"/>
    </row>
    <row r="24" spans="4:27" ht="12.75">
      <c r="D24" s="59"/>
      <c r="E24" s="59"/>
      <c r="F24" s="65"/>
      <c r="G24" s="65"/>
      <c r="H24" s="65"/>
      <c r="I24" s="65"/>
      <c r="J24" s="65"/>
      <c r="K24" s="59"/>
      <c r="T24" s="59"/>
      <c r="U24" s="59"/>
      <c r="V24" s="59"/>
      <c r="W24" s="59"/>
      <c r="X24" s="59"/>
      <c r="Y24" s="59"/>
      <c r="Z24" s="59"/>
      <c r="AA24" s="59"/>
    </row>
    <row r="25" spans="4:27" ht="12.75">
      <c r="D25" s="59"/>
      <c r="E25" s="59"/>
      <c r="F25" s="65"/>
      <c r="G25" s="65"/>
      <c r="H25" s="65"/>
      <c r="I25" s="65"/>
      <c r="J25" s="65"/>
      <c r="K25" s="59"/>
      <c r="T25" s="59"/>
      <c r="U25" s="59"/>
      <c r="V25" s="59"/>
      <c r="W25" s="59"/>
      <c r="X25" s="59"/>
      <c r="Y25" s="59"/>
      <c r="Z25" s="59"/>
      <c r="AA25" s="59"/>
    </row>
    <row r="26" spans="4:27" ht="12.75">
      <c r="D26" s="59"/>
      <c r="E26" s="59"/>
      <c r="F26" s="65"/>
      <c r="G26" s="65"/>
      <c r="H26" s="65"/>
      <c r="I26" s="65"/>
      <c r="J26" s="65"/>
      <c r="K26" s="59"/>
      <c r="T26" s="59"/>
      <c r="U26" s="59"/>
      <c r="V26" s="59"/>
      <c r="W26" s="59"/>
      <c r="X26" s="59"/>
      <c r="Y26" s="59"/>
      <c r="Z26" s="59"/>
      <c r="AA26" s="59"/>
    </row>
    <row r="27" spans="4:27" ht="12.75">
      <c r="D27" s="59"/>
      <c r="E27" s="59"/>
      <c r="F27" s="65"/>
      <c r="G27" s="65"/>
      <c r="H27" s="65"/>
      <c r="I27" s="65"/>
      <c r="J27" s="65"/>
      <c r="K27" s="59"/>
      <c r="T27" s="59"/>
      <c r="U27" s="59"/>
      <c r="V27" s="59"/>
      <c r="W27" s="59"/>
      <c r="X27" s="59"/>
      <c r="Y27" s="59"/>
      <c r="Z27" s="59"/>
      <c r="AA27" s="59"/>
    </row>
    <row r="28" spans="4:27" ht="12.75">
      <c r="D28" s="59"/>
      <c r="E28" s="59"/>
      <c r="F28" s="65"/>
      <c r="G28" s="65"/>
      <c r="H28" s="65"/>
      <c r="I28" s="65"/>
      <c r="J28" s="65"/>
      <c r="K28" s="59"/>
      <c r="T28" s="59"/>
      <c r="U28" s="59"/>
      <c r="V28" s="59"/>
      <c r="W28" s="59"/>
      <c r="X28" s="59"/>
      <c r="Y28" s="59"/>
      <c r="Z28" s="59"/>
      <c r="AA28" s="59"/>
    </row>
    <row r="29" spans="4:27" ht="12.75">
      <c r="D29" s="59"/>
      <c r="E29" s="59"/>
      <c r="F29" s="65"/>
      <c r="G29" s="65"/>
      <c r="H29" s="65"/>
      <c r="I29" s="65"/>
      <c r="J29" s="65"/>
      <c r="K29" s="59"/>
      <c r="T29" s="59"/>
      <c r="U29" s="59"/>
      <c r="V29" s="59"/>
      <c r="W29" s="59"/>
      <c r="X29" s="59"/>
      <c r="Y29" s="59"/>
      <c r="Z29" s="59"/>
      <c r="AA29" s="59"/>
    </row>
    <row r="30" spans="4:27" ht="12.75">
      <c r="D30" s="59"/>
      <c r="E30" s="59"/>
      <c r="F30" s="65"/>
      <c r="G30" s="65"/>
      <c r="H30" s="65"/>
      <c r="I30" s="65"/>
      <c r="J30" s="65"/>
      <c r="K30" s="59"/>
      <c r="T30" s="59"/>
      <c r="U30" s="59"/>
      <c r="V30" s="59"/>
      <c r="W30" s="59"/>
      <c r="X30" s="59"/>
      <c r="Y30" s="59"/>
      <c r="Z30" s="59"/>
      <c r="AA30" s="59"/>
    </row>
    <row r="31" spans="4:27" ht="12.75">
      <c r="D31" s="59"/>
      <c r="E31" s="59"/>
      <c r="F31" s="65"/>
      <c r="G31" s="65"/>
      <c r="H31" s="65"/>
      <c r="I31" s="65"/>
      <c r="J31" s="65"/>
      <c r="K31" s="59"/>
      <c r="T31" s="59"/>
      <c r="U31" s="59"/>
      <c r="V31" s="59"/>
      <c r="W31" s="59"/>
      <c r="X31" s="59"/>
      <c r="Y31" s="59"/>
      <c r="Z31" s="59"/>
      <c r="AA31" s="59"/>
    </row>
    <row r="32" spans="4:27" ht="12.75">
      <c r="D32" s="59"/>
      <c r="E32" s="59"/>
      <c r="F32" s="65"/>
      <c r="G32" s="65"/>
      <c r="H32" s="65"/>
      <c r="I32" s="65"/>
      <c r="J32" s="65"/>
      <c r="K32" s="59"/>
      <c r="T32" s="59"/>
      <c r="U32" s="59"/>
      <c r="V32" s="59"/>
      <c r="W32" s="59"/>
      <c r="X32" s="59"/>
      <c r="Y32" s="59"/>
      <c r="Z32" s="59"/>
      <c r="AA32" s="59"/>
    </row>
    <row r="33" spans="4:27" ht="12.75">
      <c r="D33" s="59"/>
      <c r="E33" s="59"/>
      <c r="F33" s="65"/>
      <c r="G33" s="65"/>
      <c r="H33" s="65"/>
      <c r="I33" s="65"/>
      <c r="J33" s="65"/>
      <c r="K33" s="59"/>
      <c r="T33" s="59"/>
      <c r="U33" s="59"/>
      <c r="V33" s="59"/>
      <c r="W33" s="59"/>
      <c r="X33" s="59"/>
      <c r="Y33" s="59"/>
      <c r="Z33" s="59"/>
      <c r="AA33" s="59"/>
    </row>
    <row r="34" spans="4:27" ht="12.75">
      <c r="D34" s="59"/>
      <c r="E34" s="59"/>
      <c r="F34" s="65"/>
      <c r="G34" s="65"/>
      <c r="H34" s="65"/>
      <c r="I34" s="65"/>
      <c r="J34" s="65"/>
      <c r="K34" s="59"/>
      <c r="T34" s="59"/>
      <c r="U34" s="59"/>
      <c r="V34" s="59"/>
      <c r="W34" s="59"/>
      <c r="X34" s="59"/>
      <c r="Y34" s="59"/>
      <c r="Z34" s="59"/>
      <c r="AA34" s="59"/>
    </row>
    <row r="35" spans="4:27" ht="12.75">
      <c r="D35" s="59"/>
      <c r="E35" s="59"/>
      <c r="F35" s="65"/>
      <c r="G35" s="65"/>
      <c r="H35" s="65"/>
      <c r="I35" s="65"/>
      <c r="J35" s="65"/>
      <c r="K35" s="59"/>
      <c r="T35" s="59"/>
      <c r="U35" s="59"/>
      <c r="V35" s="59"/>
      <c r="W35" s="59"/>
      <c r="X35" s="59"/>
      <c r="Y35" s="59"/>
      <c r="Z35" s="59"/>
      <c r="AA35" s="59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9.28125" style="33" customWidth="1"/>
    <col min="2" max="2" width="10.7109375" style="33" customWidth="1"/>
    <col min="3" max="4" width="11.421875" style="33" bestFit="1" customWidth="1"/>
    <col min="5" max="5" width="11.421875" style="33" customWidth="1"/>
    <col min="6" max="8" width="11.421875" style="84" customWidth="1"/>
    <col min="9" max="10" width="10.7109375" style="84" customWidth="1"/>
    <col min="11" max="11" width="10.140625" style="33" bestFit="1" customWidth="1"/>
    <col min="12" max="19" width="10.140625" style="59" bestFit="1" customWidth="1"/>
    <col min="20" max="21" width="10.140625" style="33" bestFit="1" customWidth="1"/>
    <col min="22" max="16384" width="9.140625" style="33" customWidth="1"/>
  </cols>
  <sheetData>
    <row r="1" spans="1:21" s="59" customFormat="1" ht="13.5" thickBot="1">
      <c r="A1" s="34" t="s">
        <v>23</v>
      </c>
      <c r="B1" s="17" t="s">
        <v>182</v>
      </c>
      <c r="C1" s="174" t="s">
        <v>183</v>
      </c>
      <c r="D1" s="55" t="s">
        <v>177</v>
      </c>
      <c r="E1" s="31">
        <v>44896</v>
      </c>
      <c r="F1" s="18">
        <v>44531</v>
      </c>
      <c r="G1" s="18">
        <v>44166</v>
      </c>
      <c r="H1" s="18">
        <v>43800</v>
      </c>
      <c r="I1" s="18">
        <v>43435</v>
      </c>
      <c r="J1" s="18">
        <v>43070</v>
      </c>
      <c r="K1" s="18">
        <v>42705</v>
      </c>
      <c r="L1" s="57">
        <v>42339</v>
      </c>
      <c r="M1" s="57">
        <v>41974</v>
      </c>
      <c r="N1" s="57">
        <v>41609</v>
      </c>
      <c r="O1" s="57">
        <v>41244</v>
      </c>
      <c r="P1" s="57">
        <v>40878</v>
      </c>
      <c r="Q1" s="57">
        <v>40513</v>
      </c>
      <c r="R1" s="57">
        <v>40148</v>
      </c>
      <c r="S1" s="57">
        <v>39783</v>
      </c>
      <c r="T1" s="35">
        <v>39417</v>
      </c>
      <c r="U1" s="98">
        <v>39052</v>
      </c>
    </row>
    <row r="2" spans="1:21" ht="12.75">
      <c r="A2" s="67" t="s">
        <v>3</v>
      </c>
      <c r="B2" s="68">
        <f aca="true" t="shared" si="0" ref="B2:B19">(E2-F2)/F2</f>
        <v>1.9580745341614907</v>
      </c>
      <c r="C2" s="198">
        <f>E2-'[1]Switzerland'!C2</f>
        <v>-431</v>
      </c>
      <c r="D2" s="43">
        <f>F2-'[1]Switzerland'!D2</f>
        <v>-475</v>
      </c>
      <c r="E2" s="69">
        <v>1905</v>
      </c>
      <c r="F2" s="43">
        <v>644</v>
      </c>
      <c r="G2" s="43">
        <v>900</v>
      </c>
      <c r="H2" s="83">
        <v>314</v>
      </c>
      <c r="I2" s="43">
        <v>1025</v>
      </c>
      <c r="J2" s="43">
        <v>27</v>
      </c>
      <c r="K2" s="43">
        <v>708</v>
      </c>
      <c r="L2" s="43">
        <v>353</v>
      </c>
      <c r="M2" s="43">
        <v>466</v>
      </c>
      <c r="N2" s="43">
        <v>466</v>
      </c>
      <c r="O2" s="43">
        <v>472</v>
      </c>
      <c r="P2" s="43">
        <v>661</v>
      </c>
      <c r="Q2" s="43">
        <v>648</v>
      </c>
      <c r="R2" s="43">
        <v>220</v>
      </c>
      <c r="S2" s="43">
        <v>1541</v>
      </c>
      <c r="T2" s="43">
        <v>1487</v>
      </c>
      <c r="U2" s="42">
        <v>970</v>
      </c>
    </row>
    <row r="3" spans="1:21" ht="12.75">
      <c r="A3" s="67" t="s">
        <v>10</v>
      </c>
      <c r="B3" s="68">
        <f t="shared" si="0"/>
        <v>0.03538390379278446</v>
      </c>
      <c r="C3" s="198">
        <f>E3-'[1]Switzerland'!C3</f>
        <v>-237</v>
      </c>
      <c r="D3" s="43">
        <f>F3-'[1]Switzerland'!D3</f>
        <v>2136</v>
      </c>
      <c r="E3" s="69">
        <v>8954</v>
      </c>
      <c r="F3" s="43">
        <v>8648</v>
      </c>
      <c r="G3" s="43">
        <v>9064</v>
      </c>
      <c r="H3" s="83">
        <v>8521</v>
      </c>
      <c r="I3" s="43">
        <v>10107</v>
      </c>
      <c r="J3" s="43">
        <v>5303</v>
      </c>
      <c r="K3" s="43">
        <v>9217</v>
      </c>
      <c r="L3" s="43">
        <v>9661</v>
      </c>
      <c r="M3" s="43">
        <v>9134</v>
      </c>
      <c r="N3" s="43">
        <v>9931</v>
      </c>
      <c r="O3" s="43">
        <v>9102</v>
      </c>
      <c r="P3" s="43">
        <v>9293</v>
      </c>
      <c r="Q3" s="43">
        <v>8420</v>
      </c>
      <c r="R3" s="43">
        <v>8606</v>
      </c>
      <c r="S3" s="43">
        <v>6221</v>
      </c>
      <c r="T3" s="43">
        <v>6276</v>
      </c>
      <c r="U3" s="42">
        <v>5216</v>
      </c>
    </row>
    <row r="4" spans="1:21" ht="12.75">
      <c r="A4" s="67" t="s">
        <v>4</v>
      </c>
      <c r="B4" s="68">
        <f t="shared" si="0"/>
        <v>2.588235294117647</v>
      </c>
      <c r="C4" s="198">
        <f>E4-'[1]Switzerland'!C4</f>
        <v>-273</v>
      </c>
      <c r="D4" s="43">
        <f>F4-'[1]Switzerland'!D4</f>
        <v>-155</v>
      </c>
      <c r="E4" s="69">
        <v>183</v>
      </c>
      <c r="F4" s="43">
        <v>51</v>
      </c>
      <c r="G4" s="43">
        <v>0</v>
      </c>
      <c r="H4" s="83">
        <v>149</v>
      </c>
      <c r="I4" s="43">
        <v>336</v>
      </c>
      <c r="J4" s="43">
        <v>0</v>
      </c>
      <c r="K4" s="43">
        <v>78</v>
      </c>
      <c r="L4" s="43">
        <v>15</v>
      </c>
      <c r="M4" s="43">
        <v>0</v>
      </c>
      <c r="N4" s="43">
        <v>19</v>
      </c>
      <c r="O4" s="43">
        <v>3</v>
      </c>
      <c r="P4" s="43">
        <v>334</v>
      </c>
      <c r="Q4" s="43">
        <v>44</v>
      </c>
      <c r="R4" s="43">
        <v>55</v>
      </c>
      <c r="S4" s="43">
        <v>210</v>
      </c>
      <c r="T4" s="43">
        <v>295</v>
      </c>
      <c r="U4" s="42">
        <v>196</v>
      </c>
    </row>
    <row r="5" spans="1:21" ht="12.75">
      <c r="A5" s="67" t="s">
        <v>1</v>
      </c>
      <c r="B5" s="68">
        <f t="shared" si="0"/>
        <v>3.25</v>
      </c>
      <c r="C5" s="198">
        <f>E5-'[1]Switzerland'!C5</f>
        <v>-48</v>
      </c>
      <c r="D5" s="43">
        <f>F5-'[1]Switzerland'!D5</f>
        <v>-15</v>
      </c>
      <c r="E5" s="69">
        <v>34</v>
      </c>
      <c r="F5" s="43">
        <v>8</v>
      </c>
      <c r="G5" s="43">
        <v>13</v>
      </c>
      <c r="H5" s="83">
        <v>16</v>
      </c>
      <c r="I5" s="43">
        <v>30</v>
      </c>
      <c r="J5" s="43">
        <v>12</v>
      </c>
      <c r="K5" s="43">
        <v>154</v>
      </c>
      <c r="L5" s="43">
        <v>7</v>
      </c>
      <c r="M5" s="43">
        <v>14</v>
      </c>
      <c r="N5" s="43">
        <v>145</v>
      </c>
      <c r="O5" s="43">
        <v>19</v>
      </c>
      <c r="P5" s="43">
        <v>203</v>
      </c>
      <c r="Q5" s="43">
        <v>26</v>
      </c>
      <c r="R5" s="43">
        <v>163</v>
      </c>
      <c r="S5" s="43">
        <v>85</v>
      </c>
      <c r="T5" s="43">
        <v>259</v>
      </c>
      <c r="U5" s="42">
        <v>212</v>
      </c>
    </row>
    <row r="6" spans="1:21" ht="12.75">
      <c r="A6" s="67" t="s">
        <v>8</v>
      </c>
      <c r="B6" s="68">
        <f t="shared" si="0"/>
        <v>-0.149200949012937</v>
      </c>
      <c r="C6" s="198">
        <f>E6-'[1]Switzerland'!C6</f>
        <v>-2745</v>
      </c>
      <c r="D6" s="43">
        <f>F6-'[1]Switzerland'!D6</f>
        <v>-2673</v>
      </c>
      <c r="E6" s="69">
        <v>19006</v>
      </c>
      <c r="F6" s="43">
        <v>22339</v>
      </c>
      <c r="G6" s="43">
        <v>22379</v>
      </c>
      <c r="H6" s="83">
        <v>21204</v>
      </c>
      <c r="I6" s="43">
        <v>22587</v>
      </c>
      <c r="J6" s="43">
        <v>13579</v>
      </c>
      <c r="K6" s="43">
        <v>16644</v>
      </c>
      <c r="L6" s="43">
        <v>19346</v>
      </c>
      <c r="M6" s="43">
        <v>17440</v>
      </c>
      <c r="N6" s="43">
        <v>19119</v>
      </c>
      <c r="O6" s="43">
        <v>17301</v>
      </c>
      <c r="P6" s="43">
        <v>20827</v>
      </c>
      <c r="Q6" s="43">
        <v>16958</v>
      </c>
      <c r="R6" s="43">
        <v>19454</v>
      </c>
      <c r="S6" s="43">
        <v>13596</v>
      </c>
      <c r="T6" s="43">
        <v>16457</v>
      </c>
      <c r="U6" s="42">
        <v>12927</v>
      </c>
    </row>
    <row r="7" spans="1:21" ht="12.75">
      <c r="A7" s="67" t="s">
        <v>130</v>
      </c>
      <c r="B7" s="68">
        <f t="shared" si="0"/>
        <v>0.07692307692307693</v>
      </c>
      <c r="C7" s="198">
        <f>E7-'[1]Switzerland'!C7</f>
        <v>-12</v>
      </c>
      <c r="D7" s="43">
        <f>F7-'[1]Switzerland'!D7</f>
        <v>-1</v>
      </c>
      <c r="E7" s="69">
        <v>56</v>
      </c>
      <c r="F7" s="43">
        <v>52</v>
      </c>
      <c r="G7" s="43">
        <v>57</v>
      </c>
      <c r="H7" s="83">
        <v>68</v>
      </c>
      <c r="I7" s="43">
        <v>119</v>
      </c>
      <c r="J7" s="43">
        <v>36</v>
      </c>
      <c r="K7" s="43">
        <v>121</v>
      </c>
      <c r="L7" s="43">
        <v>184</v>
      </c>
      <c r="M7" s="43">
        <v>105</v>
      </c>
      <c r="N7" s="43">
        <v>187</v>
      </c>
      <c r="O7" s="43">
        <v>183</v>
      </c>
      <c r="P7" s="43">
        <v>215</v>
      </c>
      <c r="Q7" s="43">
        <v>547</v>
      </c>
      <c r="R7" s="43">
        <v>379</v>
      </c>
      <c r="S7" s="43">
        <v>677</v>
      </c>
      <c r="T7" s="43">
        <v>514</v>
      </c>
      <c r="U7" s="42">
        <v>649</v>
      </c>
    </row>
    <row r="8" spans="1:21" ht="12.75">
      <c r="A8" s="107" t="s">
        <v>2</v>
      </c>
      <c r="B8" s="68">
        <f t="shared" si="0"/>
        <v>-0.17589165545087485</v>
      </c>
      <c r="C8" s="198">
        <f>E8-'[1]Switzerland'!C8</f>
        <v>-622</v>
      </c>
      <c r="D8" s="43">
        <f>F8-'[1]Switzerland'!D8</f>
        <v>-1332</v>
      </c>
      <c r="E8" s="69">
        <v>9797</v>
      </c>
      <c r="F8" s="43">
        <v>11888</v>
      </c>
      <c r="G8" s="43">
        <v>11227</v>
      </c>
      <c r="H8" s="83">
        <v>12537</v>
      </c>
      <c r="I8" s="43">
        <v>10886</v>
      </c>
      <c r="J8" s="43">
        <v>11031</v>
      </c>
      <c r="K8" s="43">
        <v>15162</v>
      </c>
      <c r="L8" s="108">
        <v>13267</v>
      </c>
      <c r="M8" s="108">
        <v>14398</v>
      </c>
      <c r="N8" s="108">
        <v>13264</v>
      </c>
      <c r="O8" s="108">
        <v>16180</v>
      </c>
      <c r="P8" s="108">
        <v>16164</v>
      </c>
      <c r="Q8" s="108">
        <v>18163</v>
      </c>
      <c r="R8" s="108">
        <v>18662</v>
      </c>
      <c r="S8" s="108">
        <v>19168</v>
      </c>
      <c r="T8" s="43">
        <v>20227</v>
      </c>
      <c r="U8" s="42">
        <v>21169</v>
      </c>
    </row>
    <row r="9" spans="1:21" ht="12.75">
      <c r="A9" s="107" t="s">
        <v>16</v>
      </c>
      <c r="B9" s="68">
        <f t="shared" si="0"/>
        <v>-0.40397350993377484</v>
      </c>
      <c r="C9" s="198">
        <f>E9-'[1]Switzerland'!C9</f>
        <v>-72</v>
      </c>
      <c r="D9" s="43">
        <f>F9-'[1]Switzerland'!D9</f>
        <v>-42</v>
      </c>
      <c r="E9" s="69">
        <v>360</v>
      </c>
      <c r="F9" s="43">
        <v>604</v>
      </c>
      <c r="G9" s="43">
        <v>262</v>
      </c>
      <c r="H9" s="83">
        <v>431</v>
      </c>
      <c r="I9" s="43">
        <v>462</v>
      </c>
      <c r="J9" s="43">
        <v>283</v>
      </c>
      <c r="K9" s="43">
        <v>486</v>
      </c>
      <c r="L9" s="108">
        <v>415</v>
      </c>
      <c r="M9" s="108">
        <v>502</v>
      </c>
      <c r="N9" s="108">
        <v>453</v>
      </c>
      <c r="O9" s="108">
        <v>558</v>
      </c>
      <c r="P9" s="108">
        <v>375</v>
      </c>
      <c r="Q9" s="108">
        <v>517</v>
      </c>
      <c r="R9" s="108">
        <v>501</v>
      </c>
      <c r="S9" s="108">
        <v>859</v>
      </c>
      <c r="T9" s="43">
        <v>336</v>
      </c>
      <c r="U9" s="42">
        <v>701</v>
      </c>
    </row>
    <row r="10" spans="1:21" ht="12.75">
      <c r="A10" s="107" t="s">
        <v>9</v>
      </c>
      <c r="B10" s="68">
        <f t="shared" si="0"/>
        <v>-0.05012531328320802</v>
      </c>
      <c r="C10" s="198">
        <f>E10-'[1]Switzerland'!C10</f>
        <v>-49</v>
      </c>
      <c r="D10" s="43">
        <f>F10-'[1]Switzerland'!D10</f>
        <v>10</v>
      </c>
      <c r="E10" s="69">
        <v>379</v>
      </c>
      <c r="F10" s="43">
        <v>399</v>
      </c>
      <c r="G10" s="43">
        <v>593</v>
      </c>
      <c r="H10" s="83">
        <v>302</v>
      </c>
      <c r="I10" s="43">
        <v>400</v>
      </c>
      <c r="J10" s="43">
        <v>173</v>
      </c>
      <c r="K10" s="43">
        <v>619</v>
      </c>
      <c r="L10" s="108">
        <v>1161</v>
      </c>
      <c r="M10" s="108">
        <v>1171</v>
      </c>
      <c r="N10" s="108">
        <v>1686</v>
      </c>
      <c r="O10" s="108">
        <v>1824</v>
      </c>
      <c r="P10" s="108">
        <v>1186</v>
      </c>
      <c r="Q10" s="108">
        <v>2796</v>
      </c>
      <c r="R10" s="108">
        <v>2553</v>
      </c>
      <c r="S10" s="108">
        <v>3344</v>
      </c>
      <c r="T10" s="43">
        <v>2322</v>
      </c>
      <c r="U10" s="42">
        <v>3410</v>
      </c>
    </row>
    <row r="11" spans="1:21" ht="12.75">
      <c r="A11" s="107" t="s">
        <v>26</v>
      </c>
      <c r="B11" s="68">
        <f t="shared" si="0"/>
        <v>0.20420258620689655</v>
      </c>
      <c r="C11" s="198">
        <f>E11-'[1]Switzerland'!C11</f>
        <v>-192</v>
      </c>
      <c r="D11" s="43">
        <f>F11-'[1]Switzerland'!D11</f>
        <v>-56</v>
      </c>
      <c r="E11" s="69">
        <v>2235</v>
      </c>
      <c r="F11" s="43">
        <v>1856</v>
      </c>
      <c r="G11" s="43">
        <v>1434</v>
      </c>
      <c r="H11" s="83">
        <v>2540</v>
      </c>
      <c r="I11" s="43">
        <v>2159</v>
      </c>
      <c r="J11" s="43">
        <v>137</v>
      </c>
      <c r="K11" s="43">
        <v>3109</v>
      </c>
      <c r="L11" s="108">
        <v>2641</v>
      </c>
      <c r="M11" s="108">
        <v>3064</v>
      </c>
      <c r="N11" s="108">
        <v>3138</v>
      </c>
      <c r="O11" s="108">
        <v>3098</v>
      </c>
      <c r="P11" s="108">
        <v>3502</v>
      </c>
      <c r="Q11" s="108">
        <v>2974</v>
      </c>
      <c r="R11" s="108">
        <v>4045</v>
      </c>
      <c r="S11" s="108">
        <v>4188</v>
      </c>
      <c r="T11" s="43">
        <v>4221</v>
      </c>
      <c r="U11" s="42">
        <v>4065</v>
      </c>
    </row>
    <row r="12" spans="1:21" ht="12.75">
      <c r="A12" s="107" t="s">
        <v>131</v>
      </c>
      <c r="B12" s="68">
        <f t="shared" si="0"/>
        <v>0.05357142857142857</v>
      </c>
      <c r="C12" s="198">
        <f>E12-'[1]Switzerland'!C12</f>
        <v>-1</v>
      </c>
      <c r="D12" s="43">
        <f>F12-'[1]Switzerland'!D12</f>
        <v>9</v>
      </c>
      <c r="E12" s="69">
        <v>118</v>
      </c>
      <c r="F12" s="43">
        <v>112</v>
      </c>
      <c r="G12" s="43">
        <v>244</v>
      </c>
      <c r="H12" s="83">
        <v>43</v>
      </c>
      <c r="I12" s="43">
        <v>310</v>
      </c>
      <c r="J12" s="43">
        <v>0</v>
      </c>
      <c r="K12" s="43">
        <v>195</v>
      </c>
      <c r="L12" s="108">
        <v>174</v>
      </c>
      <c r="M12" s="108">
        <v>238</v>
      </c>
      <c r="N12" s="108">
        <v>314</v>
      </c>
      <c r="O12" s="108">
        <v>143</v>
      </c>
      <c r="P12" s="108">
        <v>190</v>
      </c>
      <c r="Q12" s="108">
        <v>190</v>
      </c>
      <c r="R12" s="108">
        <v>151</v>
      </c>
      <c r="S12" s="108">
        <v>234</v>
      </c>
      <c r="T12" s="43">
        <v>153</v>
      </c>
      <c r="U12" s="42">
        <v>222</v>
      </c>
    </row>
    <row r="13" spans="1:21" ht="12.75">
      <c r="A13" s="107" t="s">
        <v>132</v>
      </c>
      <c r="B13" s="68">
        <f t="shared" si="0"/>
        <v>-0.2235294117647059</v>
      </c>
      <c r="C13" s="198">
        <f>E13-'[1]Switzerland'!C13</f>
        <v>-106</v>
      </c>
      <c r="D13" s="43">
        <f>F13-'[1]Switzerland'!D13</f>
        <v>-7</v>
      </c>
      <c r="E13" s="69">
        <v>66</v>
      </c>
      <c r="F13" s="43">
        <v>85</v>
      </c>
      <c r="G13" s="43">
        <v>222</v>
      </c>
      <c r="H13" s="83">
        <v>41</v>
      </c>
      <c r="I13" s="43">
        <v>379</v>
      </c>
      <c r="J13" s="43">
        <v>129</v>
      </c>
      <c r="K13" s="43">
        <v>280</v>
      </c>
      <c r="L13" s="108">
        <v>541</v>
      </c>
      <c r="M13" s="108">
        <v>842</v>
      </c>
      <c r="N13" s="108">
        <v>967</v>
      </c>
      <c r="O13" s="108">
        <v>1602</v>
      </c>
      <c r="P13" s="108">
        <v>2093</v>
      </c>
      <c r="Q13" s="108">
        <v>3560</v>
      </c>
      <c r="R13" s="108">
        <v>4160</v>
      </c>
      <c r="S13" s="108">
        <v>4509</v>
      </c>
      <c r="T13" s="43">
        <v>5626</v>
      </c>
      <c r="U13" s="42">
        <v>7327</v>
      </c>
    </row>
    <row r="14" spans="1:21" ht="12.75">
      <c r="A14" s="107" t="s">
        <v>12</v>
      </c>
      <c r="B14" s="68">
        <f t="shared" si="0"/>
        <v>0.048426150121065374</v>
      </c>
      <c r="C14" s="198">
        <f>E14-'[1]Switzerland'!C14</f>
        <v>1</v>
      </c>
      <c r="D14" s="43">
        <f>F14-'[1]Switzerland'!D14</f>
        <v>-14</v>
      </c>
      <c r="E14" s="69">
        <v>433</v>
      </c>
      <c r="F14" s="43">
        <v>413</v>
      </c>
      <c r="G14" s="43">
        <v>495</v>
      </c>
      <c r="H14" s="83">
        <v>299</v>
      </c>
      <c r="I14" s="43">
        <v>291</v>
      </c>
      <c r="J14" s="43">
        <v>154</v>
      </c>
      <c r="K14" s="43">
        <v>345</v>
      </c>
      <c r="L14" s="108">
        <v>507</v>
      </c>
      <c r="M14" s="108">
        <v>513</v>
      </c>
      <c r="N14" s="108">
        <v>791</v>
      </c>
      <c r="O14" s="108">
        <v>881</v>
      </c>
      <c r="P14" s="108">
        <v>991</v>
      </c>
      <c r="Q14" s="108">
        <v>979</v>
      </c>
      <c r="R14" s="108">
        <v>1040</v>
      </c>
      <c r="S14" s="108">
        <v>911</v>
      </c>
      <c r="T14" s="43">
        <v>911</v>
      </c>
      <c r="U14" s="42">
        <v>753</v>
      </c>
    </row>
    <row r="15" spans="1:21" ht="12.75">
      <c r="A15" s="107" t="s">
        <v>102</v>
      </c>
      <c r="B15" s="68">
        <f t="shared" si="0"/>
        <v>0.9130434782608695</v>
      </c>
      <c r="C15" s="198">
        <f>E15-'[1]Switzerland'!C15</f>
        <v>-19</v>
      </c>
      <c r="D15" s="43">
        <f>F15-'[1]Switzerland'!D15</f>
        <v>-9</v>
      </c>
      <c r="E15" s="69">
        <v>44</v>
      </c>
      <c r="F15" s="43">
        <v>23</v>
      </c>
      <c r="G15" s="43">
        <v>77</v>
      </c>
      <c r="H15" s="83">
        <v>15</v>
      </c>
      <c r="I15" s="43">
        <v>43</v>
      </c>
      <c r="J15" s="43">
        <v>1</v>
      </c>
      <c r="K15" s="43">
        <v>6</v>
      </c>
      <c r="L15" s="108">
        <v>13</v>
      </c>
      <c r="M15" s="108">
        <v>17</v>
      </c>
      <c r="N15" s="108">
        <v>92</v>
      </c>
      <c r="O15" s="108">
        <v>46</v>
      </c>
      <c r="P15" s="108">
        <v>70</v>
      </c>
      <c r="Q15" s="108">
        <v>22</v>
      </c>
      <c r="R15" s="108">
        <v>63</v>
      </c>
      <c r="S15" s="108">
        <v>61</v>
      </c>
      <c r="T15" s="43">
        <v>67</v>
      </c>
      <c r="U15" s="42">
        <v>140</v>
      </c>
    </row>
    <row r="16" spans="1:21" ht="12.75">
      <c r="A16" s="107" t="s">
        <v>103</v>
      </c>
      <c r="B16" s="68">
        <f t="shared" si="0"/>
        <v>0.7206132879045997</v>
      </c>
      <c r="C16" s="198">
        <f>E16-'[1]Switzerland'!C16</f>
        <v>-119</v>
      </c>
      <c r="D16" s="43">
        <f>F16-'[1]Switzerland'!D16</f>
        <v>-94</v>
      </c>
      <c r="E16" s="69">
        <v>1010</v>
      </c>
      <c r="F16" s="43">
        <v>587</v>
      </c>
      <c r="G16" s="43">
        <v>558</v>
      </c>
      <c r="H16" s="83">
        <v>465</v>
      </c>
      <c r="I16" s="43">
        <v>1080</v>
      </c>
      <c r="J16" s="43">
        <v>270</v>
      </c>
      <c r="K16" s="43">
        <v>644</v>
      </c>
      <c r="L16" s="108">
        <v>1115</v>
      </c>
      <c r="M16" s="108">
        <v>1197</v>
      </c>
      <c r="N16" s="108">
        <v>1440</v>
      </c>
      <c r="O16" s="108">
        <v>1471</v>
      </c>
      <c r="P16" s="108">
        <v>1625</v>
      </c>
      <c r="Q16" s="108">
        <v>1381</v>
      </c>
      <c r="R16" s="108">
        <v>1496</v>
      </c>
      <c r="S16" s="108">
        <v>1062</v>
      </c>
      <c r="T16" s="43">
        <v>1446</v>
      </c>
      <c r="U16" s="42">
        <v>1193</v>
      </c>
    </row>
    <row r="17" spans="1:21" ht="12.75">
      <c r="A17" s="37" t="s">
        <v>98</v>
      </c>
      <c r="B17" s="68">
        <f t="shared" si="0"/>
        <v>0.14553543056879567</v>
      </c>
      <c r="C17" s="198">
        <f>E17-'[1]Switzerland'!C17</f>
        <v>-11</v>
      </c>
      <c r="D17" s="43">
        <f>F17-'[1]Switzerland'!D17</f>
        <v>-5942</v>
      </c>
      <c r="E17" s="69">
        <v>3605</v>
      </c>
      <c r="F17" s="43">
        <v>3147</v>
      </c>
      <c r="G17" s="43">
        <v>3850</v>
      </c>
      <c r="H17" s="83">
        <v>11893</v>
      </c>
      <c r="I17" s="43">
        <v>13656</v>
      </c>
      <c r="J17" s="43">
        <v>8485</v>
      </c>
      <c r="K17" s="43">
        <v>12625</v>
      </c>
      <c r="L17" s="108">
        <v>9526</v>
      </c>
      <c r="M17" s="108">
        <v>10202</v>
      </c>
      <c r="N17" s="108">
        <v>11343</v>
      </c>
      <c r="O17" s="108">
        <v>8411</v>
      </c>
      <c r="P17" s="108">
        <v>9670</v>
      </c>
      <c r="Q17" s="108">
        <v>5528</v>
      </c>
      <c r="R17" s="108">
        <f>526+386+3898</f>
        <v>4810</v>
      </c>
      <c r="S17" s="108">
        <v>2045</v>
      </c>
      <c r="T17" s="43">
        <v>1682</v>
      </c>
      <c r="U17" s="42">
        <v>782</v>
      </c>
    </row>
    <row r="18" spans="1:23" ht="13.5" thickBot="1">
      <c r="A18" s="110" t="s">
        <v>58</v>
      </c>
      <c r="B18" s="74">
        <f t="shared" si="0"/>
        <v>-0.022406384284837322</v>
      </c>
      <c r="C18" s="199">
        <f>E18-'[1]Switzerland'!C18</f>
        <v>1434</v>
      </c>
      <c r="D18" s="76">
        <f>F18-'[1]Switzerland'!D18</f>
        <v>10008</v>
      </c>
      <c r="E18" s="75">
        <v>12740</v>
      </c>
      <c r="F18" s="76">
        <v>13032</v>
      </c>
      <c r="G18" s="76">
        <v>12736</v>
      </c>
      <c r="H18" s="76">
        <v>2992</v>
      </c>
      <c r="I18" s="76">
        <v>4618</v>
      </c>
      <c r="J18" s="76">
        <v>1762</v>
      </c>
      <c r="K18" s="76">
        <v>3300</v>
      </c>
      <c r="L18" s="111">
        <v>3830</v>
      </c>
      <c r="M18" s="111">
        <v>4020</v>
      </c>
      <c r="N18" s="111">
        <v>1235</v>
      </c>
      <c r="O18" s="111">
        <v>802</v>
      </c>
      <c r="P18" s="111">
        <v>737</v>
      </c>
      <c r="Q18" s="111">
        <v>606</v>
      </c>
      <c r="R18" s="111">
        <v>842</v>
      </c>
      <c r="S18" s="111">
        <v>768</v>
      </c>
      <c r="T18" s="76">
        <v>713</v>
      </c>
      <c r="U18" s="48">
        <v>779</v>
      </c>
      <c r="W18" s="85"/>
    </row>
    <row r="19" spans="1:21" ht="13.5" thickBot="1">
      <c r="A19" s="112" t="s">
        <v>22</v>
      </c>
      <c r="B19" s="78">
        <f t="shared" si="0"/>
        <v>-0.04637803656398698</v>
      </c>
      <c r="C19" s="200">
        <f>E19-'[1]Switzerland'!C19</f>
        <v>-3502</v>
      </c>
      <c r="D19" s="80">
        <f>F19-'[1]Switzerland'!D19</f>
        <v>1348</v>
      </c>
      <c r="E19" s="79">
        <f>SUM(E2:E18)</f>
        <v>60925</v>
      </c>
      <c r="F19" s="80">
        <f>SUM(F2:F18)</f>
        <v>63888</v>
      </c>
      <c r="G19" s="80">
        <f>SUM(G2:G18)</f>
        <v>64111</v>
      </c>
      <c r="H19" s="80">
        <f>SUM(H2:H18)</f>
        <v>61830</v>
      </c>
      <c r="I19" s="80">
        <v>68488</v>
      </c>
      <c r="J19" s="80">
        <v>41382</v>
      </c>
      <c r="K19" s="80">
        <f>SUM(K2:K18)</f>
        <v>63693</v>
      </c>
      <c r="L19" s="80">
        <f>SUM(L2:L18)</f>
        <v>62756</v>
      </c>
      <c r="M19" s="80">
        <f aca="true" t="shared" si="1" ref="M19:U19">SUM(M2:M18)</f>
        <v>63323</v>
      </c>
      <c r="N19" s="80">
        <f t="shared" si="1"/>
        <v>64590</v>
      </c>
      <c r="O19" s="80">
        <f t="shared" si="1"/>
        <v>62096</v>
      </c>
      <c r="P19" s="80">
        <f t="shared" si="1"/>
        <v>68136</v>
      </c>
      <c r="Q19" s="80">
        <f t="shared" si="1"/>
        <v>63359</v>
      </c>
      <c r="R19" s="80">
        <f t="shared" si="1"/>
        <v>67200</v>
      </c>
      <c r="S19" s="80">
        <f t="shared" si="1"/>
        <v>59479</v>
      </c>
      <c r="T19" s="80">
        <f t="shared" si="1"/>
        <v>62992</v>
      </c>
      <c r="U19" s="103">
        <f t="shared" si="1"/>
        <v>60711</v>
      </c>
    </row>
    <row r="20" spans="2:19" s="84" customFormat="1" ht="12.75">
      <c r="B20" s="82"/>
      <c r="C20" s="82"/>
      <c r="D20" s="82"/>
      <c r="E20" s="82"/>
      <c r="F20" s="82"/>
      <c r="G20" s="82"/>
      <c r="H20" s="210"/>
      <c r="I20" s="82"/>
      <c r="J20" s="82"/>
      <c r="K20" s="82"/>
      <c r="L20" s="65"/>
      <c r="M20" s="65"/>
      <c r="N20" s="65"/>
      <c r="O20" s="65"/>
      <c r="P20" s="65"/>
      <c r="Q20" s="65"/>
      <c r="R20" s="65"/>
      <c r="S20" s="65"/>
    </row>
    <row r="21" spans="2:19" s="84" customFormat="1" ht="13.5" thickBot="1">
      <c r="B21" s="82"/>
      <c r="C21" s="82"/>
      <c r="D21" s="82"/>
      <c r="E21" s="82"/>
      <c r="F21" s="82"/>
      <c r="G21" s="82"/>
      <c r="H21" s="210"/>
      <c r="I21" s="82"/>
      <c r="J21" s="82"/>
      <c r="K21" s="82"/>
      <c r="L21" s="65"/>
      <c r="M21" s="65"/>
      <c r="N21" s="65"/>
      <c r="O21" s="65"/>
      <c r="P21" s="65"/>
      <c r="Q21" s="65"/>
      <c r="R21" s="65"/>
      <c r="S21" s="65"/>
    </row>
    <row r="22" spans="1:21" s="59" customFormat="1" ht="13.5" thickBot="1">
      <c r="A22" s="34" t="s">
        <v>24</v>
      </c>
      <c r="B22" s="17" t="s">
        <v>182</v>
      </c>
      <c r="C22" s="174" t="s">
        <v>183</v>
      </c>
      <c r="D22" s="55" t="s">
        <v>177</v>
      </c>
      <c r="E22" s="31">
        <v>44896</v>
      </c>
      <c r="F22" s="18">
        <v>44531</v>
      </c>
      <c r="G22" s="18">
        <v>44166</v>
      </c>
      <c r="H22" s="18">
        <v>43800</v>
      </c>
      <c r="I22" s="18">
        <v>43435</v>
      </c>
      <c r="J22" s="18">
        <v>43070</v>
      </c>
      <c r="K22" s="18">
        <v>42705</v>
      </c>
      <c r="L22" s="57">
        <f>L1</f>
        <v>42339</v>
      </c>
      <c r="M22" s="57">
        <f>M1</f>
        <v>41974</v>
      </c>
      <c r="N22" s="57">
        <v>41609</v>
      </c>
      <c r="O22" s="57">
        <v>41244</v>
      </c>
      <c r="P22" s="57">
        <v>40878</v>
      </c>
      <c r="Q22" s="57">
        <v>40513</v>
      </c>
      <c r="R22" s="57">
        <v>40148</v>
      </c>
      <c r="S22" s="57">
        <v>39783</v>
      </c>
      <c r="T22" s="35">
        <v>39417</v>
      </c>
      <c r="U22" s="98">
        <v>39052</v>
      </c>
    </row>
    <row r="23" spans="1:21" ht="12.75">
      <c r="A23" s="67" t="s">
        <v>133</v>
      </c>
      <c r="B23" s="68">
        <f>(E23-F23)/F23</f>
        <v>0.0518168135884756</v>
      </c>
      <c r="C23" s="198">
        <f>E23-'[1]Switzerland'!C23</f>
        <v>-826</v>
      </c>
      <c r="D23" s="43">
        <f>F23-'[1]Switzerland'!D23</f>
        <v>-844</v>
      </c>
      <c r="E23" s="69">
        <v>4892</v>
      </c>
      <c r="F23" s="43">
        <v>4651</v>
      </c>
      <c r="G23" s="43">
        <v>5891</v>
      </c>
      <c r="H23" s="83">
        <v>6624</v>
      </c>
      <c r="I23" s="43">
        <v>5673</v>
      </c>
      <c r="J23" s="43">
        <v>954</v>
      </c>
      <c r="K23" s="43">
        <v>3117</v>
      </c>
      <c r="L23" s="43">
        <v>3862</v>
      </c>
      <c r="M23" s="43">
        <v>5054</v>
      </c>
      <c r="N23" s="43">
        <v>3929</v>
      </c>
      <c r="O23" s="43">
        <v>2772</v>
      </c>
      <c r="P23" s="43">
        <v>5180</v>
      </c>
      <c r="Q23" s="43">
        <v>2873</v>
      </c>
      <c r="R23" s="43">
        <v>4994</v>
      </c>
      <c r="S23" s="43">
        <v>1602</v>
      </c>
      <c r="T23" s="43">
        <v>4783</v>
      </c>
      <c r="U23" s="42">
        <v>3137</v>
      </c>
    </row>
    <row r="24" spans="1:21" ht="12.75">
      <c r="A24" s="67" t="s">
        <v>6</v>
      </c>
      <c r="B24" s="68">
        <f>(E24-F24)/F24</f>
        <v>0.7538829151732378</v>
      </c>
      <c r="C24" s="198">
        <f>E24-'[1]Switzerland'!C24</f>
        <v>-394</v>
      </c>
      <c r="D24" s="43">
        <f>F24-'[1]Switzerland'!D24</f>
        <v>-541</v>
      </c>
      <c r="E24" s="69">
        <v>1468</v>
      </c>
      <c r="F24" s="43">
        <v>837</v>
      </c>
      <c r="G24" s="43">
        <v>1429</v>
      </c>
      <c r="H24" s="83">
        <v>1992</v>
      </c>
      <c r="I24" s="43">
        <v>1457</v>
      </c>
      <c r="J24" s="43">
        <v>456</v>
      </c>
      <c r="K24" s="43">
        <v>1643</v>
      </c>
      <c r="L24" s="43">
        <v>1153</v>
      </c>
      <c r="M24" s="43">
        <v>1669</v>
      </c>
      <c r="N24" s="43">
        <v>1369</v>
      </c>
      <c r="O24" s="43">
        <v>924</v>
      </c>
      <c r="P24" s="43">
        <v>2699</v>
      </c>
      <c r="Q24" s="43">
        <v>750</v>
      </c>
      <c r="R24" s="43">
        <v>2531</v>
      </c>
      <c r="S24" s="43">
        <v>869</v>
      </c>
      <c r="T24" s="43">
        <v>2830</v>
      </c>
      <c r="U24" s="42">
        <v>1219</v>
      </c>
    </row>
    <row r="25" spans="1:21" ht="12.75">
      <c r="A25" s="67" t="s">
        <v>134</v>
      </c>
      <c r="B25" s="68">
        <f>(E25-F25)/F25</f>
        <v>0.4604651162790698</v>
      </c>
      <c r="C25" s="198">
        <f>E25-'[1]Switzerland'!C25</f>
        <v>-385</v>
      </c>
      <c r="D25" s="43">
        <f>F25-'[1]Switzerland'!D25</f>
        <v>-366</v>
      </c>
      <c r="E25" s="69">
        <v>1256</v>
      </c>
      <c r="F25" s="43">
        <v>860</v>
      </c>
      <c r="G25" s="43">
        <v>1594</v>
      </c>
      <c r="H25" s="83">
        <v>1369</v>
      </c>
      <c r="I25" s="43">
        <v>1674</v>
      </c>
      <c r="J25" s="43">
        <v>561</v>
      </c>
      <c r="K25" s="43">
        <v>1838</v>
      </c>
      <c r="L25" s="43">
        <v>1952</v>
      </c>
      <c r="M25" s="43">
        <v>1925</v>
      </c>
      <c r="N25" s="43">
        <v>1841</v>
      </c>
      <c r="O25" s="43">
        <v>1571</v>
      </c>
      <c r="P25" s="43">
        <v>2757</v>
      </c>
      <c r="Q25" s="43">
        <v>1087</v>
      </c>
      <c r="R25" s="43">
        <v>3370</v>
      </c>
      <c r="S25" s="43">
        <v>641</v>
      </c>
      <c r="T25" s="43">
        <v>3212</v>
      </c>
      <c r="U25" s="42">
        <v>1448</v>
      </c>
    </row>
    <row r="26" spans="1:21" ht="12.75">
      <c r="A26" s="67" t="s">
        <v>160</v>
      </c>
      <c r="B26" s="68"/>
      <c r="C26" s="198">
        <f>E26-'[1]Switzerland'!C26</f>
        <v>-171</v>
      </c>
      <c r="D26" s="43">
        <f>F26-'[1]Switzerland'!D26</f>
        <v>-11</v>
      </c>
      <c r="E26" s="69">
        <v>63</v>
      </c>
      <c r="F26" s="43">
        <v>0</v>
      </c>
      <c r="G26" s="43">
        <v>289</v>
      </c>
      <c r="H26" s="83">
        <v>315</v>
      </c>
      <c r="I26" s="43">
        <v>392</v>
      </c>
      <c r="J26" s="43">
        <v>0</v>
      </c>
      <c r="K26" s="43">
        <v>0</v>
      </c>
      <c r="L26" s="43">
        <v>60</v>
      </c>
      <c r="M26" s="43"/>
      <c r="N26" s="43"/>
      <c r="O26" s="43"/>
      <c r="P26" s="43"/>
      <c r="Q26" s="43"/>
      <c r="R26" s="43"/>
      <c r="S26" s="43"/>
      <c r="T26" s="43"/>
      <c r="U26" s="42"/>
    </row>
    <row r="27" spans="1:21" ht="13.5" thickBot="1">
      <c r="A27" s="73" t="s">
        <v>58</v>
      </c>
      <c r="B27" s="74">
        <f>(E27-F27)/F27</f>
        <v>0.6535162950257289</v>
      </c>
      <c r="C27" s="199">
        <f>E27-'[1]Switzerland'!C27</f>
        <v>-101</v>
      </c>
      <c r="D27" s="76">
        <f>F27-'[1]Switzerland'!D27</f>
        <v>-135</v>
      </c>
      <c r="E27" s="75">
        <v>964</v>
      </c>
      <c r="F27" s="76">
        <v>583</v>
      </c>
      <c r="G27" s="76">
        <v>813</v>
      </c>
      <c r="H27" s="76">
        <v>587</v>
      </c>
      <c r="I27" s="76">
        <v>678</v>
      </c>
      <c r="J27" s="76">
        <v>157</v>
      </c>
      <c r="K27" s="76">
        <v>343</v>
      </c>
      <c r="L27" s="76">
        <v>395</v>
      </c>
      <c r="M27" s="76">
        <v>612</v>
      </c>
      <c r="N27" s="76">
        <v>457</v>
      </c>
      <c r="O27" s="76">
        <v>237</v>
      </c>
      <c r="P27" s="76">
        <v>489</v>
      </c>
      <c r="Q27" s="76">
        <v>244</v>
      </c>
      <c r="R27" s="76">
        <v>474</v>
      </c>
      <c r="S27" s="76">
        <v>193</v>
      </c>
      <c r="T27" s="76">
        <v>602</v>
      </c>
      <c r="U27" s="48">
        <v>313</v>
      </c>
    </row>
    <row r="28" spans="1:21" ht="13.5" thickBot="1">
      <c r="A28" s="49" t="s">
        <v>22</v>
      </c>
      <c r="B28" s="78">
        <f>(E28-F28)/F28</f>
        <v>0.24700620401096524</v>
      </c>
      <c r="C28" s="200">
        <f>E28-'[1]Switzerland'!C28</f>
        <v>-1877</v>
      </c>
      <c r="D28" s="80">
        <f>F28-'[1]Switzerland'!D28</f>
        <v>-1897</v>
      </c>
      <c r="E28" s="79">
        <f>SUM(E23:E27)</f>
        <v>8643</v>
      </c>
      <c r="F28" s="80">
        <f>SUM(F23:F27)</f>
        <v>6931</v>
      </c>
      <c r="G28" s="80">
        <f>SUM(G23:G27)</f>
        <v>10016</v>
      </c>
      <c r="H28" s="80">
        <f>SUM(H23:H27)</f>
        <v>10887</v>
      </c>
      <c r="I28" s="80">
        <v>9874</v>
      </c>
      <c r="J28" s="80">
        <v>2128</v>
      </c>
      <c r="K28" s="80">
        <f>SUM(K23:K27)</f>
        <v>6941</v>
      </c>
      <c r="L28" s="80">
        <f>SUM(L23:L27)</f>
        <v>7422</v>
      </c>
      <c r="M28" s="80">
        <f>SUM(M23:M27)</f>
        <v>9260</v>
      </c>
      <c r="N28" s="80">
        <f>SUM(N23:N27)</f>
        <v>7596</v>
      </c>
      <c r="O28" s="80">
        <f>SUM(O23:O27)</f>
        <v>5504</v>
      </c>
      <c r="P28" s="80">
        <f aca="true" t="shared" si="2" ref="P28:U28">SUM(P23:P27)</f>
        <v>11125</v>
      </c>
      <c r="Q28" s="80">
        <f t="shared" si="2"/>
        <v>4954</v>
      </c>
      <c r="R28" s="80">
        <f t="shared" si="2"/>
        <v>11369</v>
      </c>
      <c r="S28" s="80">
        <f t="shared" si="2"/>
        <v>3305</v>
      </c>
      <c r="T28" s="80">
        <f t="shared" si="2"/>
        <v>11427</v>
      </c>
      <c r="U28" s="103">
        <f t="shared" si="2"/>
        <v>6117</v>
      </c>
    </row>
    <row r="29" ht="12.75">
      <c r="A29" t="s">
        <v>161</v>
      </c>
    </row>
    <row r="35" spans="20:22" ht="18">
      <c r="T35" s="113"/>
      <c r="U35" s="85"/>
      <c r="V35" s="85"/>
    </row>
    <row r="36" spans="20:22" ht="18">
      <c r="T36" s="113"/>
      <c r="U36" s="85"/>
      <c r="V36" s="85"/>
    </row>
    <row r="37" spans="20:22" ht="18">
      <c r="T37" s="113"/>
      <c r="U37" s="85"/>
      <c r="V37" s="85"/>
    </row>
    <row r="38" spans="20:22" ht="18">
      <c r="T38" s="113"/>
      <c r="U38" s="85"/>
      <c r="V38" s="85"/>
    </row>
    <row r="39" spans="20:22" ht="18">
      <c r="T39" s="113"/>
      <c r="U39" s="85"/>
      <c r="V39" s="85"/>
    </row>
    <row r="40" spans="20:22" ht="18">
      <c r="T40" s="113"/>
      <c r="U40" s="85"/>
      <c r="V40" s="85"/>
    </row>
    <row r="41" spans="20:22" ht="18">
      <c r="T41" s="113"/>
      <c r="U41" s="85"/>
      <c r="V41" s="85"/>
    </row>
    <row r="42" spans="20:22" ht="18">
      <c r="T42" s="113"/>
      <c r="U42" s="85"/>
      <c r="V42" s="85"/>
    </row>
    <row r="43" spans="20:22" ht="18">
      <c r="T43" s="113"/>
      <c r="U43" s="85"/>
      <c r="V43" s="85"/>
    </row>
    <row r="44" spans="20:22" ht="18">
      <c r="T44" s="113"/>
      <c r="U44" s="85"/>
      <c r="V44" s="85"/>
    </row>
    <row r="45" spans="20:22" ht="18">
      <c r="T45" s="114"/>
      <c r="U45" s="85"/>
      <c r="V45" s="85"/>
    </row>
    <row r="46" spans="20:22" ht="18">
      <c r="T46" s="115"/>
      <c r="U46" s="116"/>
      <c r="V46" s="116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V3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9.28125" style="33" customWidth="1"/>
    <col min="2" max="2" width="10.7109375" style="33" customWidth="1"/>
    <col min="3" max="4" width="11.421875" style="33" bestFit="1" customWidth="1"/>
    <col min="5" max="5" width="11.421875" style="33" customWidth="1"/>
    <col min="6" max="8" width="11.421875" style="84" customWidth="1"/>
    <col min="9" max="10" width="10.7109375" style="84" customWidth="1"/>
    <col min="11" max="11" width="10.28125" style="33" customWidth="1"/>
    <col min="12" max="19" width="10.28125" style="59" customWidth="1"/>
    <col min="20" max="21" width="10.28125" style="33" customWidth="1"/>
    <col min="22" max="16384" width="9.140625" style="33" customWidth="1"/>
  </cols>
  <sheetData>
    <row r="1" spans="1:21" s="59" customFormat="1" ht="13.5" thickBot="1">
      <c r="A1" s="34" t="s">
        <v>23</v>
      </c>
      <c r="B1" s="17" t="s">
        <v>182</v>
      </c>
      <c r="C1" s="174" t="s">
        <v>183</v>
      </c>
      <c r="D1" s="55" t="s">
        <v>177</v>
      </c>
      <c r="E1" s="31">
        <v>44896</v>
      </c>
      <c r="F1" s="18">
        <v>44531</v>
      </c>
      <c r="G1" s="18">
        <v>44166</v>
      </c>
      <c r="H1" s="18">
        <v>43800</v>
      </c>
      <c r="I1" s="18">
        <v>43435</v>
      </c>
      <c r="J1" s="18">
        <v>43070</v>
      </c>
      <c r="K1" s="18">
        <v>42705</v>
      </c>
      <c r="L1" s="57">
        <v>42339</v>
      </c>
      <c r="M1" s="57">
        <v>41974</v>
      </c>
      <c r="N1" s="57">
        <v>41609</v>
      </c>
      <c r="O1" s="57">
        <v>41244</v>
      </c>
      <c r="P1" s="57">
        <v>40878</v>
      </c>
      <c r="Q1" s="57">
        <v>40513</v>
      </c>
      <c r="R1" s="57">
        <v>40148</v>
      </c>
      <c r="S1" s="57">
        <v>39783</v>
      </c>
      <c r="T1" s="35">
        <v>39417</v>
      </c>
      <c r="U1" s="98">
        <v>39052</v>
      </c>
    </row>
    <row r="2" spans="1:21" ht="12.75">
      <c r="A2" s="67" t="s">
        <v>3</v>
      </c>
      <c r="B2" s="68">
        <f aca="true" t="shared" si="0" ref="B2:B8">(E2-F2)/F2</f>
        <v>-0.22801578354002255</v>
      </c>
      <c r="C2" s="198">
        <f>E2-'[1]Netherlands'!C2</f>
        <v>-1729</v>
      </c>
      <c r="D2" s="43">
        <f>F2-'[1]Netherlands'!D2</f>
        <v>-970</v>
      </c>
      <c r="E2" s="69">
        <v>5478</v>
      </c>
      <c r="F2" s="43">
        <v>7096</v>
      </c>
      <c r="G2" s="43">
        <v>6000</v>
      </c>
      <c r="H2" s="43">
        <v>7000</v>
      </c>
      <c r="I2" s="71">
        <v>7770.191</v>
      </c>
      <c r="J2" s="71">
        <v>4588</v>
      </c>
      <c r="K2" s="43">
        <v>8272</v>
      </c>
      <c r="L2" s="43">
        <v>10722</v>
      </c>
      <c r="M2" s="43">
        <v>9996</v>
      </c>
      <c r="N2" s="43">
        <v>11148</v>
      </c>
      <c r="O2" s="43">
        <v>9000</v>
      </c>
      <c r="P2" s="43">
        <v>11000</v>
      </c>
      <c r="Q2" s="43">
        <v>10000</v>
      </c>
      <c r="R2" s="43">
        <v>13000</v>
      </c>
      <c r="S2" s="43">
        <v>15000</v>
      </c>
      <c r="T2" s="43">
        <v>11000</v>
      </c>
      <c r="U2" s="42">
        <v>15000</v>
      </c>
    </row>
    <row r="3" spans="1:21" ht="12.75">
      <c r="A3" s="67" t="s">
        <v>1</v>
      </c>
      <c r="B3" s="68">
        <f t="shared" si="0"/>
        <v>0.07662082514734773</v>
      </c>
      <c r="C3" s="198">
        <f>E3-'[1]Netherlands'!C3</f>
        <v>-24522</v>
      </c>
      <c r="D3" s="43">
        <f>F3-'[1]Netherlands'!D3</f>
        <v>-19944</v>
      </c>
      <c r="E3" s="69">
        <v>61376</v>
      </c>
      <c r="F3" s="43">
        <v>57008</v>
      </c>
      <c r="G3" s="43">
        <v>43897</v>
      </c>
      <c r="H3" s="43">
        <v>67799</v>
      </c>
      <c r="I3" s="71">
        <v>66469.138</v>
      </c>
      <c r="J3" s="71">
        <v>56847</v>
      </c>
      <c r="K3" s="43">
        <v>84035</v>
      </c>
      <c r="L3" s="43">
        <v>91050</v>
      </c>
      <c r="M3" s="43">
        <v>87581</v>
      </c>
      <c r="N3" s="43">
        <v>83273</v>
      </c>
      <c r="O3" s="43">
        <v>66000</v>
      </c>
      <c r="P3" s="43">
        <v>95000</v>
      </c>
      <c r="Q3" s="43">
        <v>74000</v>
      </c>
      <c r="R3" s="43">
        <v>113000</v>
      </c>
      <c r="S3" s="43">
        <v>93000</v>
      </c>
      <c r="T3" s="43">
        <v>90000</v>
      </c>
      <c r="U3" s="42">
        <v>70000</v>
      </c>
    </row>
    <row r="4" spans="1:21" ht="12.75">
      <c r="A4" s="67" t="s">
        <v>2</v>
      </c>
      <c r="B4" s="68">
        <f t="shared" si="0"/>
        <v>-0.09311650701715304</v>
      </c>
      <c r="C4" s="198">
        <f>E4-'[1]Netherlands'!C4</f>
        <v>-1314</v>
      </c>
      <c r="D4" s="43">
        <f>F4-'[1]Netherlands'!D4</f>
        <v>-866</v>
      </c>
      <c r="E4" s="69">
        <v>4071</v>
      </c>
      <c r="F4" s="43">
        <v>4489</v>
      </c>
      <c r="G4" s="43">
        <v>5000</v>
      </c>
      <c r="H4" s="43">
        <v>7000</v>
      </c>
      <c r="I4" s="71">
        <v>8206.358</v>
      </c>
      <c r="J4" s="71">
        <v>8679</v>
      </c>
      <c r="K4" s="43">
        <v>10134</v>
      </c>
      <c r="L4" s="43">
        <v>15414</v>
      </c>
      <c r="M4" s="43">
        <v>16882</v>
      </c>
      <c r="N4" s="43">
        <v>21541</v>
      </c>
      <c r="O4" s="43">
        <v>19000</v>
      </c>
      <c r="P4" s="43">
        <v>18000</v>
      </c>
      <c r="Q4" s="43">
        <v>15000</v>
      </c>
      <c r="R4" s="43">
        <v>15000</v>
      </c>
      <c r="S4" s="43">
        <v>19000</v>
      </c>
      <c r="T4" s="43">
        <v>19000</v>
      </c>
      <c r="U4" s="42">
        <v>20000</v>
      </c>
    </row>
    <row r="5" spans="1:21" ht="12.75">
      <c r="A5" s="107" t="s">
        <v>135</v>
      </c>
      <c r="B5" s="68">
        <f t="shared" si="0"/>
        <v>-0.030146465228924</v>
      </c>
      <c r="C5" s="198">
        <f>E5-'[1]Netherlands'!C5</f>
        <v>-2974</v>
      </c>
      <c r="D5" s="43">
        <f>F5-'[1]Netherlands'!D5</f>
        <v>-9983</v>
      </c>
      <c r="E5" s="69">
        <v>42048</v>
      </c>
      <c r="F5" s="43">
        <v>43355</v>
      </c>
      <c r="G5" s="43">
        <v>46000</v>
      </c>
      <c r="H5" s="43">
        <v>54000</v>
      </c>
      <c r="I5" s="71">
        <v>55004.012</v>
      </c>
      <c r="J5" s="71">
        <v>46074</v>
      </c>
      <c r="K5" s="43">
        <v>71156</v>
      </c>
      <c r="L5" s="108">
        <v>67683</v>
      </c>
      <c r="M5" s="108">
        <v>73748</v>
      </c>
      <c r="N5" s="108">
        <v>76323</v>
      </c>
      <c r="O5" s="108">
        <v>69000</v>
      </c>
      <c r="P5" s="108">
        <v>110000</v>
      </c>
      <c r="Q5" s="108">
        <v>70000</v>
      </c>
      <c r="R5" s="108">
        <v>103000</v>
      </c>
      <c r="S5" s="108">
        <v>98000</v>
      </c>
      <c r="T5" s="43">
        <v>106000</v>
      </c>
      <c r="U5" s="42">
        <v>95000</v>
      </c>
    </row>
    <row r="6" spans="1:21" ht="12.75">
      <c r="A6" s="107" t="s">
        <v>166</v>
      </c>
      <c r="B6" s="68">
        <f t="shared" si="0"/>
        <v>-0.12519742779783394</v>
      </c>
      <c r="C6" s="198">
        <f>E6-'[1]Netherlands'!C6</f>
        <v>-3522</v>
      </c>
      <c r="D6" s="43">
        <f>F6-'[1]Netherlands'!D6</f>
        <v>2376</v>
      </c>
      <c r="E6" s="69">
        <v>31017</v>
      </c>
      <c r="F6" s="43">
        <v>35456</v>
      </c>
      <c r="G6" s="43">
        <v>35000</v>
      </c>
      <c r="H6" s="43">
        <v>33000</v>
      </c>
      <c r="I6" s="71">
        <v>33281.759</v>
      </c>
      <c r="J6" s="71">
        <v>21323</v>
      </c>
      <c r="K6" s="43">
        <v>28989</v>
      </c>
      <c r="L6" s="108">
        <v>27534</v>
      </c>
      <c r="M6" s="108">
        <v>27400</v>
      </c>
      <c r="N6" s="108">
        <v>24760</v>
      </c>
      <c r="O6" s="108"/>
      <c r="P6" s="108"/>
      <c r="Q6" s="108"/>
      <c r="R6" s="108"/>
      <c r="S6" s="108"/>
      <c r="T6" s="43"/>
      <c r="U6" s="42"/>
    </row>
    <row r="7" spans="1:21" ht="13.5" thickBot="1">
      <c r="A7" s="127" t="s">
        <v>58</v>
      </c>
      <c r="B7" s="74">
        <f t="shared" si="0"/>
        <v>-0.2168</v>
      </c>
      <c r="C7" s="199">
        <f>E7-'[1]Netherlands'!C7</f>
        <v>-586</v>
      </c>
      <c r="D7" s="76">
        <f>F7-'[1]Netherlands'!D7</f>
        <v>-618</v>
      </c>
      <c r="E7" s="75">
        <v>4895</v>
      </c>
      <c r="F7" s="76">
        <v>6250</v>
      </c>
      <c r="G7" s="76">
        <v>10000</v>
      </c>
      <c r="H7" s="76">
        <v>9000</v>
      </c>
      <c r="I7" s="106">
        <v>9995.758</v>
      </c>
      <c r="J7" s="106">
        <v>8154</v>
      </c>
      <c r="K7" s="76">
        <v>8993</v>
      </c>
      <c r="L7" s="111">
        <v>7892</v>
      </c>
      <c r="M7" s="111">
        <v>8902</v>
      </c>
      <c r="N7" s="111">
        <v>7871</v>
      </c>
      <c r="O7" s="111">
        <v>33000</v>
      </c>
      <c r="P7" s="111">
        <v>35000</v>
      </c>
      <c r="Q7" s="111">
        <v>33000</v>
      </c>
      <c r="R7" s="111">
        <v>24000</v>
      </c>
      <c r="S7" s="111">
        <v>12000</v>
      </c>
      <c r="T7" s="76">
        <v>11000</v>
      </c>
      <c r="U7" s="48">
        <v>15000</v>
      </c>
    </row>
    <row r="8" spans="1:21" ht="13.5" thickBot="1">
      <c r="A8" s="112" t="s">
        <v>22</v>
      </c>
      <c r="B8" s="78">
        <f t="shared" si="0"/>
        <v>-0.031037265544665286</v>
      </c>
      <c r="C8" s="200">
        <f>E8-'[1]Netherlands'!C8</f>
        <v>-34647</v>
      </c>
      <c r="D8" s="80">
        <f>F8-'[1]Netherlands'!D8</f>
        <v>-30005</v>
      </c>
      <c r="E8" s="79">
        <f>SUM(E2:E7)</f>
        <v>148885</v>
      </c>
      <c r="F8" s="80">
        <f>SUM(F2:F7)</f>
        <v>153654</v>
      </c>
      <c r="G8" s="80">
        <f>SUM(G2:G7)</f>
        <v>145897</v>
      </c>
      <c r="H8" s="80">
        <f>SUM(H2:H7)</f>
        <v>177799</v>
      </c>
      <c r="I8" s="80">
        <v>180727.21600000001</v>
      </c>
      <c r="J8" s="80">
        <v>145665</v>
      </c>
      <c r="K8" s="80">
        <f>SUM(K2:K7)</f>
        <v>211579</v>
      </c>
      <c r="L8" s="80">
        <f>SUM(L2:L7)</f>
        <v>220295</v>
      </c>
      <c r="M8" s="80">
        <f>SUM(M2:M7)</f>
        <v>224509</v>
      </c>
      <c r="N8" s="80">
        <f>SUM(N2:N7)</f>
        <v>224916</v>
      </c>
      <c r="O8" s="80">
        <f>SUM(O2:O7)</f>
        <v>196000</v>
      </c>
      <c r="P8" s="80">
        <f aca="true" t="shared" si="1" ref="P8:U8">SUM(P2:P7)</f>
        <v>269000</v>
      </c>
      <c r="Q8" s="80">
        <f t="shared" si="1"/>
        <v>202000</v>
      </c>
      <c r="R8" s="80">
        <f t="shared" si="1"/>
        <v>268000</v>
      </c>
      <c r="S8" s="80">
        <f t="shared" si="1"/>
        <v>237000</v>
      </c>
      <c r="T8" s="80">
        <f t="shared" si="1"/>
        <v>237000</v>
      </c>
      <c r="U8" s="103">
        <f t="shared" si="1"/>
        <v>215000</v>
      </c>
    </row>
    <row r="9" spans="2:19" s="84" customFormat="1" ht="12.75">
      <c r="B9" s="82"/>
      <c r="C9" s="82"/>
      <c r="D9" s="82"/>
      <c r="E9" s="82"/>
      <c r="F9" s="82"/>
      <c r="G9" s="82"/>
      <c r="H9" s="82"/>
      <c r="I9" s="82"/>
      <c r="J9" s="82"/>
      <c r="K9" s="82"/>
      <c r="L9" s="65"/>
      <c r="M9" s="65"/>
      <c r="N9" s="65"/>
      <c r="O9" s="65"/>
      <c r="P9" s="65"/>
      <c r="Q9" s="65"/>
      <c r="R9" s="65"/>
      <c r="S9" s="65"/>
    </row>
    <row r="10" spans="2:19" s="84" customFormat="1" ht="13.5" thickBot="1"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65"/>
      <c r="M10" s="65"/>
      <c r="N10" s="65"/>
      <c r="O10" s="65"/>
      <c r="P10" s="65"/>
      <c r="Q10" s="65"/>
      <c r="R10" s="65"/>
      <c r="S10" s="65"/>
    </row>
    <row r="11" spans="1:21" s="59" customFormat="1" ht="13.5" thickBot="1">
      <c r="A11" s="34" t="s">
        <v>24</v>
      </c>
      <c r="B11" s="17" t="s">
        <v>182</v>
      </c>
      <c r="C11" s="174" t="s">
        <v>183</v>
      </c>
      <c r="D11" s="55" t="s">
        <v>177</v>
      </c>
      <c r="E11" s="31">
        <v>44896</v>
      </c>
      <c r="F11" s="18">
        <v>44531</v>
      </c>
      <c r="G11" s="18">
        <v>44166</v>
      </c>
      <c r="H11" s="18">
        <v>43800</v>
      </c>
      <c r="I11" s="18">
        <v>43435</v>
      </c>
      <c r="J11" s="18">
        <v>43070</v>
      </c>
      <c r="K11" s="18">
        <v>42705</v>
      </c>
      <c r="L11" s="57">
        <f>L1</f>
        <v>42339</v>
      </c>
      <c r="M11" s="57">
        <f>M1</f>
        <v>41974</v>
      </c>
      <c r="N11" s="57">
        <v>41609</v>
      </c>
      <c r="O11" s="57">
        <v>41244</v>
      </c>
      <c r="P11" s="57">
        <v>40878</v>
      </c>
      <c r="Q11" s="57">
        <v>40513</v>
      </c>
      <c r="R11" s="57">
        <v>40148</v>
      </c>
      <c r="S11" s="57">
        <v>39783</v>
      </c>
      <c r="T11" s="35">
        <v>39417</v>
      </c>
      <c r="U11" s="98">
        <v>39052</v>
      </c>
    </row>
    <row r="12" spans="1:21" ht="12.75">
      <c r="A12" s="67" t="s">
        <v>6</v>
      </c>
      <c r="B12" s="68">
        <f>(E12-F12)/F12</f>
        <v>0.05314928819779292</v>
      </c>
      <c r="C12" s="198">
        <f>E12-'[1]Netherlands'!C12</f>
        <v>-18435</v>
      </c>
      <c r="D12" s="43">
        <f>F12-'[1]Netherlands'!D12</f>
        <v>-16915</v>
      </c>
      <c r="E12" s="69">
        <v>202033</v>
      </c>
      <c r="F12" s="43">
        <v>191837</v>
      </c>
      <c r="G12" s="43">
        <v>218000</v>
      </c>
      <c r="H12" s="43">
        <v>194000</v>
      </c>
      <c r="I12" s="71">
        <v>214147.405</v>
      </c>
      <c r="J12" s="71">
        <v>186497</v>
      </c>
      <c r="K12" s="43">
        <v>196772</v>
      </c>
      <c r="L12" s="43">
        <v>191959</v>
      </c>
      <c r="M12" s="43">
        <v>184515</v>
      </c>
      <c r="N12" s="43">
        <v>187873</v>
      </c>
      <c r="O12" s="43">
        <v>105000</v>
      </c>
      <c r="P12" s="43">
        <v>165000</v>
      </c>
      <c r="Q12" s="43">
        <v>130000</v>
      </c>
      <c r="R12" s="43">
        <v>150000</v>
      </c>
      <c r="S12" s="43">
        <v>73000</v>
      </c>
      <c r="T12" s="43">
        <v>110000</v>
      </c>
      <c r="U12" s="42">
        <v>105000</v>
      </c>
    </row>
    <row r="13" spans="1:21" ht="12.75">
      <c r="A13" s="67" t="s">
        <v>106</v>
      </c>
      <c r="B13" s="68">
        <f>(E13-F13)/F13</f>
        <v>0.06378802747791953</v>
      </c>
      <c r="C13" s="198">
        <f>E13-'[1]Netherlands'!C13</f>
        <v>-3722</v>
      </c>
      <c r="D13" s="43">
        <f>F13-'[1]Netherlands'!D13</f>
        <v>-2652</v>
      </c>
      <c r="E13" s="69">
        <v>7588</v>
      </c>
      <c r="F13" s="43">
        <v>7133</v>
      </c>
      <c r="G13" s="43">
        <v>14000</v>
      </c>
      <c r="H13" s="43">
        <v>12000</v>
      </c>
      <c r="I13" s="71">
        <v>14250.131</v>
      </c>
      <c r="J13" s="71">
        <v>7236</v>
      </c>
      <c r="K13" s="43">
        <v>15383</v>
      </c>
      <c r="L13" s="43">
        <v>13319</v>
      </c>
      <c r="M13" s="43">
        <v>15042</v>
      </c>
      <c r="N13" s="43">
        <v>15752</v>
      </c>
      <c r="O13" s="43">
        <v>6000</v>
      </c>
      <c r="P13" s="43">
        <v>13000</v>
      </c>
      <c r="Q13" s="43">
        <v>11000</v>
      </c>
      <c r="R13" s="43">
        <v>13000</v>
      </c>
      <c r="S13" s="43">
        <v>9000</v>
      </c>
      <c r="T13" s="43">
        <v>14000</v>
      </c>
      <c r="U13" s="42">
        <v>10000</v>
      </c>
    </row>
    <row r="14" spans="1:21" ht="13.5" thickBot="1">
      <c r="A14" s="73" t="s">
        <v>5</v>
      </c>
      <c r="B14" s="74">
        <f>(E14-F14)/F14</f>
        <v>0.0628728982100886</v>
      </c>
      <c r="C14" s="199">
        <f>E14-'[1]Netherlands'!C14</f>
        <v>-9379</v>
      </c>
      <c r="D14" s="76">
        <f>F14-'[1]Netherlands'!D14</f>
        <v>-5848</v>
      </c>
      <c r="E14" s="75">
        <v>23515</v>
      </c>
      <c r="F14" s="76">
        <v>22124</v>
      </c>
      <c r="G14" s="76">
        <v>25000</v>
      </c>
      <c r="H14" s="76">
        <v>22000</v>
      </c>
      <c r="I14" s="106">
        <v>21519</v>
      </c>
      <c r="J14" s="106">
        <v>12419</v>
      </c>
      <c r="K14" s="76">
        <v>20412</v>
      </c>
      <c r="L14" s="76">
        <v>18906</v>
      </c>
      <c r="M14" s="76">
        <v>20509</v>
      </c>
      <c r="N14" s="76">
        <v>18102</v>
      </c>
      <c r="O14" s="76">
        <v>6000</v>
      </c>
      <c r="P14" s="76">
        <v>9000</v>
      </c>
      <c r="Q14" s="76">
        <v>9000</v>
      </c>
      <c r="R14" s="76">
        <v>8000</v>
      </c>
      <c r="S14" s="76">
        <v>4000</v>
      </c>
      <c r="T14" s="76">
        <v>5000</v>
      </c>
      <c r="U14" s="48">
        <v>5000</v>
      </c>
    </row>
    <row r="15" spans="1:21" ht="13.5" thickBot="1">
      <c r="A15" s="49" t="s">
        <v>22</v>
      </c>
      <c r="B15" s="78">
        <f>(E15-F15)/F15</f>
        <v>0.05446552145241391</v>
      </c>
      <c r="C15" s="200">
        <f>E15-'[1]Netherlands'!C15</f>
        <v>-31536</v>
      </c>
      <c r="D15" s="80">
        <f>F15-'[1]Netherlands'!D15</f>
        <v>-25415</v>
      </c>
      <c r="E15" s="79">
        <f>SUM(E12:E14)</f>
        <v>233136</v>
      </c>
      <c r="F15" s="80">
        <f>SUM(F12:F14)</f>
        <v>221094</v>
      </c>
      <c r="G15" s="80">
        <f>SUM(G12:G14)</f>
        <v>257000</v>
      </c>
      <c r="H15" s="80">
        <f>SUM(H12:H14)</f>
        <v>228000</v>
      </c>
      <c r="I15" s="80">
        <v>249916.536</v>
      </c>
      <c r="J15" s="80">
        <v>206152</v>
      </c>
      <c r="K15" s="80">
        <f>SUM(K12:K14)</f>
        <v>232567</v>
      </c>
      <c r="L15" s="80">
        <f>SUM(L12:L14)</f>
        <v>224184</v>
      </c>
      <c r="M15" s="80">
        <f>SUM(M12:M14)</f>
        <v>220066</v>
      </c>
      <c r="N15" s="80">
        <f>SUM(N12:N14)</f>
        <v>221727</v>
      </c>
      <c r="O15" s="80">
        <f>SUM(O12:O14)</f>
        <v>117000</v>
      </c>
      <c r="P15" s="80">
        <f aca="true" t="shared" si="2" ref="P15:U15">SUM(P12:P14)</f>
        <v>187000</v>
      </c>
      <c r="Q15" s="80">
        <f t="shared" si="2"/>
        <v>150000</v>
      </c>
      <c r="R15" s="80">
        <f t="shared" si="2"/>
        <v>171000</v>
      </c>
      <c r="S15" s="80">
        <f t="shared" si="2"/>
        <v>86000</v>
      </c>
      <c r="T15" s="80">
        <f t="shared" si="2"/>
        <v>129000</v>
      </c>
      <c r="U15" s="103">
        <f t="shared" si="2"/>
        <v>120000</v>
      </c>
    </row>
    <row r="22" spans="20:22" ht="18">
      <c r="T22" s="113"/>
      <c r="U22" s="85"/>
      <c r="V22" s="85"/>
    </row>
    <row r="23" spans="20:22" ht="18">
      <c r="T23" s="113"/>
      <c r="U23" s="85"/>
      <c r="V23" s="85"/>
    </row>
    <row r="24" spans="20:22" ht="18">
      <c r="T24" s="113"/>
      <c r="U24" s="85"/>
      <c r="V24" s="85"/>
    </row>
    <row r="25" spans="20:22" ht="18">
      <c r="T25" s="113"/>
      <c r="U25" s="85"/>
      <c r="V25" s="85"/>
    </row>
    <row r="26" spans="20:22" ht="18">
      <c r="T26" s="113"/>
      <c r="U26" s="85"/>
      <c r="V26" s="85"/>
    </row>
    <row r="27" spans="20:22" ht="18">
      <c r="T27" s="113"/>
      <c r="U27" s="85"/>
      <c r="V27" s="85"/>
    </row>
    <row r="28" spans="20:22" ht="18">
      <c r="T28" s="113"/>
      <c r="U28" s="85"/>
      <c r="V28" s="85"/>
    </row>
    <row r="29" spans="20:22" ht="18">
      <c r="T29" s="113"/>
      <c r="U29" s="85"/>
      <c r="V29" s="85"/>
    </row>
    <row r="30" spans="20:22" ht="18">
      <c r="T30" s="113"/>
      <c r="U30" s="85"/>
      <c r="V30" s="85"/>
    </row>
    <row r="31" spans="20:22" ht="18">
      <c r="T31" s="113"/>
      <c r="U31" s="85"/>
      <c r="V31" s="85"/>
    </row>
    <row r="32" spans="20:22" ht="18">
      <c r="T32" s="114"/>
      <c r="U32" s="85"/>
      <c r="V32" s="85"/>
    </row>
    <row r="33" spans="20:22" ht="18">
      <c r="T33" s="115"/>
      <c r="U33" s="116"/>
      <c r="V33" s="116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4.7109375" style="33" customWidth="1"/>
    <col min="2" max="2" width="10.7109375" style="33" customWidth="1"/>
    <col min="3" max="4" width="11.421875" style="33" bestFit="1" customWidth="1"/>
    <col min="5" max="5" width="11.421875" style="33" customWidth="1"/>
    <col min="6" max="8" width="11.421875" style="84" customWidth="1"/>
    <col min="9" max="10" width="10.7109375" style="84" customWidth="1"/>
    <col min="11" max="21" width="10.140625" style="33" bestFit="1" customWidth="1"/>
    <col min="22" max="16384" width="9.140625" style="33" customWidth="1"/>
  </cols>
  <sheetData>
    <row r="1" spans="1:21" ht="13.5" thickBot="1">
      <c r="A1" s="34" t="s">
        <v>92</v>
      </c>
      <c r="B1" s="17" t="s">
        <v>182</v>
      </c>
      <c r="C1" s="174" t="s">
        <v>183</v>
      </c>
      <c r="D1" s="55" t="s">
        <v>177</v>
      </c>
      <c r="E1" s="31">
        <v>44896</v>
      </c>
      <c r="F1" s="18">
        <v>44531</v>
      </c>
      <c r="G1" s="18">
        <v>44166</v>
      </c>
      <c r="H1" s="18">
        <v>43800</v>
      </c>
      <c r="I1" s="18">
        <v>43435</v>
      </c>
      <c r="J1" s="18">
        <v>43070</v>
      </c>
      <c r="K1" s="18">
        <v>42705</v>
      </c>
      <c r="L1" s="57">
        <v>42339</v>
      </c>
      <c r="M1" s="57">
        <v>41974</v>
      </c>
      <c r="N1" s="57">
        <v>41609</v>
      </c>
      <c r="O1" s="57">
        <v>41244</v>
      </c>
      <c r="P1" s="57">
        <v>40878</v>
      </c>
      <c r="Q1" s="57">
        <v>40513</v>
      </c>
      <c r="R1" s="57">
        <v>40148</v>
      </c>
      <c r="S1" s="57">
        <v>39783</v>
      </c>
      <c r="T1" s="35">
        <v>39417</v>
      </c>
      <c r="U1" s="98">
        <v>39052</v>
      </c>
    </row>
    <row r="2" spans="1:21" ht="12.75">
      <c r="A2" s="37" t="s">
        <v>10</v>
      </c>
      <c r="B2" s="38"/>
      <c r="C2" s="196"/>
      <c r="D2" s="71"/>
      <c r="E2" s="39"/>
      <c r="F2" s="71"/>
      <c r="G2" s="71"/>
      <c r="H2" s="71"/>
      <c r="I2" s="71"/>
      <c r="J2" s="71">
        <v>9190</v>
      </c>
      <c r="K2" s="71"/>
      <c r="L2" s="71">
        <v>24500</v>
      </c>
      <c r="M2" s="71">
        <v>25000</v>
      </c>
      <c r="N2" s="71">
        <v>23100</v>
      </c>
      <c r="O2" s="71">
        <v>13500</v>
      </c>
      <c r="P2" s="71">
        <v>18500</v>
      </c>
      <c r="Q2" s="71">
        <v>12000</v>
      </c>
      <c r="R2" s="71">
        <v>18400</v>
      </c>
      <c r="S2" s="71">
        <v>8900</v>
      </c>
      <c r="T2" s="40">
        <v>9000</v>
      </c>
      <c r="U2" s="117">
        <v>5700</v>
      </c>
    </row>
    <row r="3" spans="1:21" ht="12.75">
      <c r="A3" s="37" t="s">
        <v>35</v>
      </c>
      <c r="B3" s="38"/>
      <c r="C3" s="196"/>
      <c r="D3" s="71"/>
      <c r="E3" s="39"/>
      <c r="F3" s="71"/>
      <c r="G3" s="71"/>
      <c r="H3" s="71"/>
      <c r="I3" s="71"/>
      <c r="J3" s="71">
        <v>49500</v>
      </c>
      <c r="K3" s="71"/>
      <c r="L3" s="71">
        <v>42000</v>
      </c>
      <c r="M3" s="71">
        <v>62000</v>
      </c>
      <c r="N3" s="71">
        <v>55000</v>
      </c>
      <c r="O3" s="71">
        <v>31000</v>
      </c>
      <c r="P3" s="71">
        <v>62000</v>
      </c>
      <c r="Q3" s="71">
        <v>71000</v>
      </c>
      <c r="R3" s="71">
        <v>62000</v>
      </c>
      <c r="S3" s="71">
        <v>57000</v>
      </c>
      <c r="T3" s="40">
        <v>55000</v>
      </c>
      <c r="U3" s="117">
        <v>58000</v>
      </c>
    </row>
    <row r="4" spans="1:21" ht="12.75">
      <c r="A4" s="37" t="s">
        <v>28</v>
      </c>
      <c r="B4" s="38"/>
      <c r="C4" s="196"/>
      <c r="D4" s="71"/>
      <c r="E4" s="39"/>
      <c r="F4" s="71"/>
      <c r="G4" s="71"/>
      <c r="H4" s="71"/>
      <c r="I4" s="71"/>
      <c r="J4" s="71"/>
      <c r="K4" s="71"/>
      <c r="L4" s="71">
        <v>1800</v>
      </c>
      <c r="M4" s="71"/>
      <c r="N4" s="71">
        <v>1900</v>
      </c>
      <c r="O4" s="71">
        <v>1800</v>
      </c>
      <c r="P4" s="71"/>
      <c r="Q4" s="71"/>
      <c r="R4" s="71">
        <v>1400</v>
      </c>
      <c r="S4" s="71">
        <v>1300</v>
      </c>
      <c r="T4" s="40"/>
      <c r="U4" s="117"/>
    </row>
    <row r="5" spans="1:21" ht="12.75">
      <c r="A5" s="37" t="s">
        <v>4</v>
      </c>
      <c r="B5" s="38"/>
      <c r="C5" s="196"/>
      <c r="D5" s="71"/>
      <c r="E5" s="39"/>
      <c r="F5" s="71"/>
      <c r="G5" s="71"/>
      <c r="H5" s="71"/>
      <c r="I5" s="71"/>
      <c r="J5" s="71">
        <v>10685</v>
      </c>
      <c r="K5" s="71"/>
      <c r="L5" s="71">
        <v>20100</v>
      </c>
      <c r="M5" s="71">
        <v>14000</v>
      </c>
      <c r="N5" s="71">
        <v>24800</v>
      </c>
      <c r="O5" s="71">
        <v>15500</v>
      </c>
      <c r="P5" s="71">
        <v>27000</v>
      </c>
      <c r="Q5" s="71">
        <v>24000</v>
      </c>
      <c r="R5" s="71">
        <v>26000</v>
      </c>
      <c r="S5" s="71">
        <v>27000</v>
      </c>
      <c r="T5" s="40">
        <v>27000</v>
      </c>
      <c r="U5" s="117">
        <v>25000</v>
      </c>
    </row>
    <row r="6" spans="1:21" ht="12.75">
      <c r="A6" s="37" t="s">
        <v>8</v>
      </c>
      <c r="B6" s="38"/>
      <c r="C6" s="196"/>
      <c r="D6" s="71"/>
      <c r="E6" s="39"/>
      <c r="F6" s="71"/>
      <c r="G6" s="71"/>
      <c r="H6" s="71"/>
      <c r="I6" s="71"/>
      <c r="J6" s="71">
        <v>23608</v>
      </c>
      <c r="K6" s="71"/>
      <c r="L6" s="71">
        <v>41600</v>
      </c>
      <c r="M6" s="71">
        <v>34000</v>
      </c>
      <c r="N6" s="71">
        <v>28800</v>
      </c>
      <c r="O6" s="71">
        <v>24500</v>
      </c>
      <c r="P6" s="71">
        <v>25000</v>
      </c>
      <c r="Q6" s="71">
        <v>21000</v>
      </c>
      <c r="R6" s="71">
        <v>18000</v>
      </c>
      <c r="S6" s="71">
        <v>16000</v>
      </c>
      <c r="T6" s="40">
        <v>12000</v>
      </c>
      <c r="U6" s="117">
        <v>6500</v>
      </c>
    </row>
    <row r="7" spans="1:22" ht="12.75">
      <c r="A7" s="37" t="s">
        <v>26</v>
      </c>
      <c r="B7" s="38"/>
      <c r="C7" s="196"/>
      <c r="D7" s="71"/>
      <c r="E7" s="39"/>
      <c r="F7" s="71"/>
      <c r="G7" s="71"/>
      <c r="H7" s="71"/>
      <c r="I7" s="71"/>
      <c r="J7" s="71">
        <v>1080</v>
      </c>
      <c r="K7" s="71"/>
      <c r="L7" s="71">
        <v>500</v>
      </c>
      <c r="M7" s="71">
        <v>1000</v>
      </c>
      <c r="N7" s="71">
        <v>2900</v>
      </c>
      <c r="O7" s="71">
        <v>2000</v>
      </c>
      <c r="P7" s="71">
        <v>2000</v>
      </c>
      <c r="Q7" s="71">
        <v>2000</v>
      </c>
      <c r="R7" s="71">
        <v>1000</v>
      </c>
      <c r="S7" s="71">
        <v>2500</v>
      </c>
      <c r="T7" s="40">
        <v>7000</v>
      </c>
      <c r="U7" s="117">
        <v>3000</v>
      </c>
      <c r="V7" s="85"/>
    </row>
    <row r="8" spans="1:21" ht="12.75">
      <c r="A8" s="37" t="s">
        <v>25</v>
      </c>
      <c r="B8" s="38"/>
      <c r="C8" s="196"/>
      <c r="D8" s="71"/>
      <c r="E8" s="39"/>
      <c r="F8" s="71"/>
      <c r="G8" s="71"/>
      <c r="H8" s="71"/>
      <c r="I8" s="71"/>
      <c r="J8" s="71"/>
      <c r="K8" s="71"/>
      <c r="L8" s="71">
        <v>7000</v>
      </c>
      <c r="M8" s="71">
        <v>6000</v>
      </c>
      <c r="N8" s="71">
        <v>8800</v>
      </c>
      <c r="O8" s="71">
        <v>7000</v>
      </c>
      <c r="P8" s="71">
        <v>6000</v>
      </c>
      <c r="Q8" s="71">
        <v>6000</v>
      </c>
      <c r="R8" s="71">
        <v>5000</v>
      </c>
      <c r="S8" s="71">
        <v>4000</v>
      </c>
      <c r="T8" s="40"/>
      <c r="U8" s="117"/>
    </row>
    <row r="9" spans="1:21" ht="12.75">
      <c r="A9" s="37" t="s">
        <v>34</v>
      </c>
      <c r="B9" s="38"/>
      <c r="C9" s="196"/>
      <c r="D9" s="71"/>
      <c r="E9" s="39"/>
      <c r="F9" s="71"/>
      <c r="G9" s="71"/>
      <c r="H9" s="71"/>
      <c r="I9" s="71"/>
      <c r="J9" s="71"/>
      <c r="K9" s="71"/>
      <c r="L9" s="71">
        <v>0</v>
      </c>
      <c r="M9" s="71">
        <v>0</v>
      </c>
      <c r="N9" s="71">
        <v>0</v>
      </c>
      <c r="O9" s="71">
        <v>0</v>
      </c>
      <c r="P9" s="71">
        <v>0</v>
      </c>
      <c r="Q9" s="71">
        <v>0</v>
      </c>
      <c r="R9" s="71">
        <v>0</v>
      </c>
      <c r="S9" s="71">
        <v>0</v>
      </c>
      <c r="T9" s="40"/>
      <c r="U9" s="117"/>
    </row>
    <row r="10" spans="1:21" ht="12.75">
      <c r="A10" s="37" t="s">
        <v>136</v>
      </c>
      <c r="B10" s="38"/>
      <c r="C10" s="196"/>
      <c r="D10" s="71"/>
      <c r="E10" s="39"/>
      <c r="F10" s="71"/>
      <c r="G10" s="71"/>
      <c r="H10" s="71"/>
      <c r="I10" s="71"/>
      <c r="J10" s="71"/>
      <c r="K10" s="71"/>
      <c r="L10" s="71">
        <v>9900</v>
      </c>
      <c r="M10" s="71">
        <v>10500</v>
      </c>
      <c r="N10" s="71">
        <v>9900</v>
      </c>
      <c r="O10" s="71">
        <v>5200</v>
      </c>
      <c r="P10" s="71">
        <v>8000</v>
      </c>
      <c r="Q10" s="71">
        <v>8000</v>
      </c>
      <c r="R10" s="71">
        <v>5800</v>
      </c>
      <c r="S10" s="71"/>
      <c r="T10" s="40"/>
      <c r="U10" s="117"/>
    </row>
    <row r="11" spans="1:21" ht="13.5" thickBot="1">
      <c r="A11" s="44" t="s">
        <v>5</v>
      </c>
      <c r="B11" s="45"/>
      <c r="C11" s="204"/>
      <c r="D11" s="106"/>
      <c r="E11" s="46"/>
      <c r="F11" s="106"/>
      <c r="G11" s="106"/>
      <c r="H11" s="106"/>
      <c r="I11" s="106"/>
      <c r="J11" s="106"/>
      <c r="K11" s="106"/>
      <c r="L11" s="106">
        <v>3000</v>
      </c>
      <c r="M11" s="106">
        <v>5000</v>
      </c>
      <c r="N11" s="106">
        <v>2000</v>
      </c>
      <c r="O11" s="106">
        <v>2500</v>
      </c>
      <c r="P11" s="106">
        <v>3000</v>
      </c>
      <c r="Q11" s="106">
        <v>6000</v>
      </c>
      <c r="R11" s="106">
        <v>5000</v>
      </c>
      <c r="S11" s="106">
        <v>6000</v>
      </c>
      <c r="T11" s="47">
        <v>6500</v>
      </c>
      <c r="U11" s="118">
        <v>6000</v>
      </c>
    </row>
    <row r="12" spans="1:21" ht="13.5" thickBot="1">
      <c r="A12" s="49" t="s">
        <v>93</v>
      </c>
      <c r="B12" s="78"/>
      <c r="C12" s="200"/>
      <c r="D12" s="80"/>
      <c r="E12" s="79"/>
      <c r="F12" s="80"/>
      <c r="G12" s="80"/>
      <c r="H12" s="80"/>
      <c r="I12" s="80"/>
      <c r="J12" s="80">
        <v>94063</v>
      </c>
      <c r="K12" s="102"/>
      <c r="L12" s="102">
        <v>150400</v>
      </c>
      <c r="M12" s="102">
        <f>SUM(M2:M11)</f>
        <v>157500</v>
      </c>
      <c r="N12" s="102">
        <f>SUM(N2:N11)</f>
        <v>157200</v>
      </c>
      <c r="O12" s="102">
        <f>SUM(O2:O11)</f>
        <v>103000</v>
      </c>
      <c r="P12" s="102">
        <f aca="true" t="shared" si="0" ref="P12:U12">SUM(P2:P11)</f>
        <v>151500</v>
      </c>
      <c r="Q12" s="102">
        <f t="shared" si="0"/>
        <v>150000</v>
      </c>
      <c r="R12" s="102">
        <f t="shared" si="0"/>
        <v>142600</v>
      </c>
      <c r="S12" s="102">
        <f t="shared" si="0"/>
        <v>122700</v>
      </c>
      <c r="T12" s="52">
        <f t="shared" si="0"/>
        <v>116500</v>
      </c>
      <c r="U12" s="103">
        <f t="shared" si="0"/>
        <v>104200</v>
      </c>
    </row>
    <row r="13" spans="4:19" ht="12.75">
      <c r="D13" s="84"/>
      <c r="E13" s="84"/>
      <c r="K13" s="84"/>
      <c r="L13" s="84"/>
      <c r="M13" s="84"/>
      <c r="N13" s="84"/>
      <c r="O13" s="84"/>
      <c r="P13" s="84"/>
      <c r="Q13" s="84"/>
      <c r="R13" s="84"/>
      <c r="S13" s="84"/>
    </row>
    <row r="14" spans="2:21" ht="13.5" thickBot="1">
      <c r="B14" s="36"/>
      <c r="C14" s="36"/>
      <c r="D14" s="128"/>
      <c r="E14" s="128"/>
      <c r="F14" s="128"/>
      <c r="G14" s="128"/>
      <c r="H14" s="128"/>
      <c r="I14" s="128"/>
      <c r="J14" s="128"/>
      <c r="K14" s="128"/>
      <c r="L14" s="128"/>
      <c r="M14" s="128"/>
      <c r="N14" s="128"/>
      <c r="O14" s="128"/>
      <c r="P14" s="128"/>
      <c r="Q14" s="128"/>
      <c r="R14" s="128"/>
      <c r="S14" s="128"/>
      <c r="T14" s="36"/>
      <c r="U14" s="36"/>
    </row>
    <row r="15" spans="1:21" s="36" customFormat="1" ht="13.5" thickBot="1">
      <c r="A15" s="34" t="s">
        <v>92</v>
      </c>
      <c r="B15" s="17" t="s">
        <v>182</v>
      </c>
      <c r="C15" s="174" t="s">
        <v>183</v>
      </c>
      <c r="D15" s="55" t="s">
        <v>177</v>
      </c>
      <c r="E15" s="31">
        <v>44896</v>
      </c>
      <c r="F15" s="18">
        <v>44531</v>
      </c>
      <c r="G15" s="18">
        <v>44166</v>
      </c>
      <c r="H15" s="18">
        <v>43800</v>
      </c>
      <c r="I15" s="18">
        <v>43435</v>
      </c>
      <c r="J15" s="18">
        <v>43070</v>
      </c>
      <c r="K15" s="18">
        <v>42705</v>
      </c>
      <c r="L15" s="57">
        <v>42339</v>
      </c>
      <c r="M15" s="57">
        <f>M1</f>
        <v>41974</v>
      </c>
      <c r="N15" s="57">
        <v>41609</v>
      </c>
      <c r="O15" s="57">
        <v>41244</v>
      </c>
      <c r="P15" s="57">
        <v>40878</v>
      </c>
      <c r="Q15" s="57">
        <v>40513</v>
      </c>
      <c r="R15" s="57">
        <v>40148</v>
      </c>
      <c r="S15" s="57">
        <v>39783</v>
      </c>
      <c r="T15" s="35">
        <v>39417</v>
      </c>
      <c r="U15" s="98">
        <v>39052</v>
      </c>
    </row>
    <row r="16" spans="1:21" ht="12.75">
      <c r="A16" s="37" t="s">
        <v>6</v>
      </c>
      <c r="B16" s="38"/>
      <c r="C16" s="196"/>
      <c r="D16" s="71"/>
      <c r="E16" s="39"/>
      <c r="F16" s="71"/>
      <c r="G16" s="71"/>
      <c r="H16" s="71"/>
      <c r="I16" s="71"/>
      <c r="J16" s="71">
        <v>9646</v>
      </c>
      <c r="K16" s="71"/>
      <c r="L16" s="71">
        <v>14400</v>
      </c>
      <c r="M16" s="71">
        <v>11500</v>
      </c>
      <c r="N16" s="71">
        <v>15100</v>
      </c>
      <c r="O16" s="71">
        <v>13000</v>
      </c>
      <c r="P16" s="71">
        <v>16000</v>
      </c>
      <c r="Q16" s="71">
        <v>16000</v>
      </c>
      <c r="R16" s="71">
        <v>17000</v>
      </c>
      <c r="S16" s="71">
        <v>13000</v>
      </c>
      <c r="T16" s="40">
        <v>13000</v>
      </c>
      <c r="U16" s="117">
        <v>15000</v>
      </c>
    </row>
    <row r="17" spans="1:21" ht="12.75">
      <c r="A17" s="37" t="s">
        <v>94</v>
      </c>
      <c r="B17" s="38"/>
      <c r="C17" s="196"/>
      <c r="D17" s="71"/>
      <c r="E17" s="39"/>
      <c r="F17" s="71"/>
      <c r="G17" s="71"/>
      <c r="H17" s="71"/>
      <c r="I17" s="71"/>
      <c r="J17" s="71">
        <v>428</v>
      </c>
      <c r="K17" s="71"/>
      <c r="L17" s="71">
        <v>1800</v>
      </c>
      <c r="M17" s="71">
        <v>1500</v>
      </c>
      <c r="N17" s="71">
        <v>1000</v>
      </c>
      <c r="O17" s="71">
        <v>1000</v>
      </c>
      <c r="P17" s="71">
        <v>2500</v>
      </c>
      <c r="Q17" s="71">
        <v>1000</v>
      </c>
      <c r="R17" s="71">
        <v>1000</v>
      </c>
      <c r="S17" s="71">
        <v>1000</v>
      </c>
      <c r="T17" s="40">
        <v>1000</v>
      </c>
      <c r="U17" s="117">
        <v>2000</v>
      </c>
    </row>
    <row r="18" spans="1:21" ht="13.5" thickBot="1">
      <c r="A18" s="44" t="s">
        <v>5</v>
      </c>
      <c r="B18" s="45"/>
      <c r="C18" s="204"/>
      <c r="D18" s="106"/>
      <c r="E18" s="46"/>
      <c r="F18" s="106"/>
      <c r="G18" s="106"/>
      <c r="H18" s="106"/>
      <c r="I18" s="106"/>
      <c r="J18" s="106"/>
      <c r="K18" s="106"/>
      <c r="L18" s="106">
        <v>500</v>
      </c>
      <c r="M18" s="106">
        <v>500</v>
      </c>
      <c r="N18" s="106">
        <v>500</v>
      </c>
      <c r="O18" s="106">
        <v>0</v>
      </c>
      <c r="P18" s="106">
        <v>1000</v>
      </c>
      <c r="Q18" s="106">
        <v>1000</v>
      </c>
      <c r="R18" s="106">
        <v>900</v>
      </c>
      <c r="S18" s="106">
        <v>100</v>
      </c>
      <c r="T18" s="47">
        <v>1000</v>
      </c>
      <c r="U18" s="118">
        <v>1000</v>
      </c>
    </row>
    <row r="19" spans="1:21" ht="13.5" thickBot="1">
      <c r="A19" s="49" t="s">
        <v>93</v>
      </c>
      <c r="B19" s="78"/>
      <c r="C19" s="200"/>
      <c r="D19" s="80"/>
      <c r="E19" s="79"/>
      <c r="F19" s="80"/>
      <c r="G19" s="80"/>
      <c r="H19" s="80"/>
      <c r="I19" s="80"/>
      <c r="J19" s="80">
        <v>10074</v>
      </c>
      <c r="K19" s="102"/>
      <c r="L19" s="102">
        <v>16700</v>
      </c>
      <c r="M19" s="102">
        <f>SUM(M16:M18)</f>
        <v>13500</v>
      </c>
      <c r="N19" s="102">
        <f>SUM(N16:N18)</f>
        <v>16600</v>
      </c>
      <c r="O19" s="102">
        <f>SUM(O16:O18)</f>
        <v>14000</v>
      </c>
      <c r="P19" s="102">
        <f aca="true" t="shared" si="1" ref="P19:U19">SUM(P16:P18)</f>
        <v>19500</v>
      </c>
      <c r="Q19" s="102">
        <f t="shared" si="1"/>
        <v>18000</v>
      </c>
      <c r="R19" s="102">
        <f t="shared" si="1"/>
        <v>18900</v>
      </c>
      <c r="S19" s="102">
        <f t="shared" si="1"/>
        <v>14100</v>
      </c>
      <c r="T19" s="52">
        <f t="shared" si="1"/>
        <v>15000</v>
      </c>
      <c r="U19" s="53">
        <f t="shared" si="1"/>
        <v>18000</v>
      </c>
    </row>
    <row r="21" ht="12.75">
      <c r="A21" s="36"/>
    </row>
  </sheetData>
  <sheetProtection/>
  <printOptions/>
  <pageMargins left="0.75" right="0.75" top="1" bottom="1" header="0.5" footer="0.5"/>
  <pageSetup fitToHeight="3" fitToWidth="1" horizontalDpi="600" verticalDpi="600" orientation="landscape" paperSize="9" scale="7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59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26.28125" style="0" bestFit="1" customWidth="1"/>
    <col min="2" max="2" width="10.7109375" style="0" customWidth="1"/>
    <col min="3" max="4" width="11.421875" style="0" bestFit="1" customWidth="1"/>
    <col min="5" max="5" width="11.421875" style="0" customWidth="1"/>
    <col min="6" max="8" width="11.421875" style="7" customWidth="1"/>
    <col min="9" max="10" width="10.8515625" style="7" customWidth="1"/>
    <col min="11" max="11" width="10.140625" style="0" bestFit="1" customWidth="1"/>
    <col min="12" max="19" width="10.140625" style="11" bestFit="1" customWidth="1"/>
    <col min="20" max="21" width="10.140625" style="0" bestFit="1" customWidth="1"/>
    <col min="22" max="24" width="8.8515625" style="0" customWidth="1"/>
    <col min="25" max="25" width="21.421875" style="0" bestFit="1" customWidth="1"/>
  </cols>
  <sheetData>
    <row r="1" spans="1:21" s="11" customFormat="1" ht="13.5" thickBot="1">
      <c r="A1" s="16" t="s">
        <v>23</v>
      </c>
      <c r="B1" s="17" t="s">
        <v>182</v>
      </c>
      <c r="C1" s="174" t="s">
        <v>183</v>
      </c>
      <c r="D1" s="55" t="s">
        <v>177</v>
      </c>
      <c r="E1" s="31">
        <v>44896</v>
      </c>
      <c r="F1" s="18">
        <v>44531</v>
      </c>
      <c r="G1" s="18">
        <v>44166</v>
      </c>
      <c r="H1" s="18">
        <v>43800</v>
      </c>
      <c r="I1" s="18">
        <v>43435</v>
      </c>
      <c r="J1" s="18">
        <v>43070</v>
      </c>
      <c r="K1" s="18">
        <v>42705</v>
      </c>
      <c r="L1" s="18">
        <v>42339</v>
      </c>
      <c r="M1" s="18">
        <v>41974</v>
      </c>
      <c r="N1" s="18">
        <v>41609</v>
      </c>
      <c r="O1" s="18">
        <v>41244</v>
      </c>
      <c r="P1" s="18">
        <v>40878</v>
      </c>
      <c r="Q1" s="18">
        <v>40513</v>
      </c>
      <c r="R1" s="18">
        <v>40148</v>
      </c>
      <c r="S1" s="18">
        <v>39783</v>
      </c>
      <c r="T1" s="18">
        <v>39417</v>
      </c>
      <c r="U1" s="19">
        <v>39052</v>
      </c>
    </row>
    <row r="2" spans="1:28" ht="12.75">
      <c r="A2" s="13" t="s">
        <v>10</v>
      </c>
      <c r="B2" s="20">
        <f>(E2-F2)/F2</f>
        <v>0.11897666116775298</v>
      </c>
      <c r="C2" s="176"/>
      <c r="D2" s="173"/>
      <c r="E2" s="221">
        <f>206882*(42*0.453592/1000)</f>
        <v>3941.280846048</v>
      </c>
      <c r="F2" s="9">
        <f>184885*(42*0.453592/1000)</f>
        <v>3522.21899064</v>
      </c>
      <c r="G2" s="173">
        <v>5612</v>
      </c>
      <c r="H2" s="173">
        <v>9338</v>
      </c>
      <c r="I2" s="9">
        <v>13092</v>
      </c>
      <c r="J2" s="9">
        <v>19914</v>
      </c>
      <c r="K2" s="9">
        <v>31538</v>
      </c>
      <c r="L2" s="9">
        <v>21896</v>
      </c>
      <c r="M2" s="9">
        <v>43201</v>
      </c>
      <c r="N2" s="9">
        <v>26431</v>
      </c>
      <c r="O2" s="9">
        <v>39427</v>
      </c>
      <c r="P2" s="9">
        <v>39027</v>
      </c>
      <c r="Q2" s="9">
        <v>54824.86388384755</v>
      </c>
      <c r="R2" s="9">
        <v>49012.704174228675</v>
      </c>
      <c r="S2" s="9">
        <v>58845.73502722323</v>
      </c>
      <c r="T2" s="9">
        <v>55434.66424682396</v>
      </c>
      <c r="U2" s="22">
        <v>52195.09981851179</v>
      </c>
      <c r="W2">
        <v>3523</v>
      </c>
      <c r="Y2" s="3" t="s">
        <v>184</v>
      </c>
      <c r="AA2">
        <v>206882</v>
      </c>
      <c r="AB2">
        <v>184885</v>
      </c>
    </row>
    <row r="3" spans="1:28" ht="12.75">
      <c r="A3" s="13" t="s">
        <v>32</v>
      </c>
      <c r="B3" s="20">
        <f aca="true" t="shared" si="0" ref="B3:B27">(E3-F3)/F3</f>
        <v>0.289009881283347</v>
      </c>
      <c r="C3" s="176"/>
      <c r="D3" s="173"/>
      <c r="E3" s="221">
        <f>200762*(42*0.453592/1000)</f>
        <v>3824.6895583680002</v>
      </c>
      <c r="F3" s="9">
        <f>155749*(42*0.453592/1000)</f>
        <v>2967.153017136</v>
      </c>
      <c r="G3" s="173">
        <v>5563</v>
      </c>
      <c r="H3" s="173">
        <v>5012</v>
      </c>
      <c r="I3" s="9">
        <v>5660</v>
      </c>
      <c r="J3" s="9">
        <v>5031</v>
      </c>
      <c r="K3" s="9">
        <v>5317</v>
      </c>
      <c r="L3" s="9">
        <v>9185</v>
      </c>
      <c r="M3" s="9">
        <v>6555</v>
      </c>
      <c r="N3" s="9">
        <v>7661</v>
      </c>
      <c r="O3" s="9">
        <v>2382</v>
      </c>
      <c r="P3" s="9">
        <v>6365</v>
      </c>
      <c r="Q3" s="9">
        <v>4954.627949183303</v>
      </c>
      <c r="R3" s="9">
        <v>6669.691470054447</v>
      </c>
      <c r="S3" s="9">
        <v>7374.7731397459165</v>
      </c>
      <c r="T3" s="9">
        <v>8003.629764065336</v>
      </c>
      <c r="U3" s="22">
        <v>6402.9038112522685</v>
      </c>
      <c r="W3">
        <v>2968</v>
      </c>
      <c r="Y3">
        <f>42*0.453592/1000</f>
        <v>0.019050864</v>
      </c>
      <c r="AA3">
        <v>200762</v>
      </c>
      <c r="AB3">
        <v>155749</v>
      </c>
    </row>
    <row r="4" spans="1:28" ht="12.75">
      <c r="A4" s="13" t="s">
        <v>175</v>
      </c>
      <c r="B4" s="20">
        <f t="shared" si="0"/>
        <v>0.5951918972978273</v>
      </c>
      <c r="C4" s="176"/>
      <c r="D4" s="173"/>
      <c r="E4" s="221">
        <f>5434286*(42*0.453592/1000)</f>
        <v>103527.843523104</v>
      </c>
      <c r="F4" s="9">
        <f>3406666*(42*0.453592/1000)</f>
        <v>64899.930659424004</v>
      </c>
      <c r="G4" s="173">
        <v>27202</v>
      </c>
      <c r="H4" s="173">
        <v>6193</v>
      </c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22"/>
      <c r="W4">
        <v>64918</v>
      </c>
      <c r="AA4">
        <v>5434286</v>
      </c>
      <c r="AB4">
        <v>3406666</v>
      </c>
    </row>
    <row r="5" spans="1:28" ht="12.75">
      <c r="A5" s="13" t="s">
        <v>48</v>
      </c>
      <c r="B5" s="20">
        <f t="shared" si="0"/>
        <v>0.3674107142857144</v>
      </c>
      <c r="C5" s="176"/>
      <c r="D5" s="173"/>
      <c r="E5" s="221">
        <f>1121058*(42*0.453592/1000)</f>
        <v>21357.123494112002</v>
      </c>
      <c r="F5" s="9">
        <f>819840*(42*0.453592/1000)</f>
        <v>15618.66034176</v>
      </c>
      <c r="G5" s="173">
        <v>21394</v>
      </c>
      <c r="H5" s="173">
        <v>20219</v>
      </c>
      <c r="I5" s="9">
        <v>28718</v>
      </c>
      <c r="J5" s="9">
        <v>26069</v>
      </c>
      <c r="K5" s="9">
        <v>22887</v>
      </c>
      <c r="L5" s="9">
        <v>32643</v>
      </c>
      <c r="M5" s="9">
        <v>26946</v>
      </c>
      <c r="N5" s="9">
        <v>33749</v>
      </c>
      <c r="O5" s="9">
        <v>7946</v>
      </c>
      <c r="P5" s="9">
        <v>33825</v>
      </c>
      <c r="Q5" s="9">
        <v>30985.480943738658</v>
      </c>
      <c r="R5" s="9">
        <v>39389.292196007256</v>
      </c>
      <c r="S5" s="9">
        <v>30185.117967332124</v>
      </c>
      <c r="T5" s="9">
        <v>40437.38656987296</v>
      </c>
      <c r="U5" s="22">
        <v>41599.81851179673</v>
      </c>
      <c r="W5">
        <v>15623</v>
      </c>
      <c r="AA5">
        <v>1121058</v>
      </c>
      <c r="AB5">
        <v>819840</v>
      </c>
    </row>
    <row r="6" spans="1:28" ht="12.75">
      <c r="A6" s="13" t="s">
        <v>11</v>
      </c>
      <c r="B6" s="20">
        <f t="shared" si="0"/>
        <v>-0.09934189674452855</v>
      </c>
      <c r="C6" s="176"/>
      <c r="D6" s="173"/>
      <c r="E6" s="221">
        <f>11426299*(42*0.453592/1000)</f>
        <v>217680.868272336</v>
      </c>
      <c r="F6" s="9">
        <f>12686611*(42*0.453592/1000)</f>
        <v>241690.900781904</v>
      </c>
      <c r="G6" s="173">
        <v>280513</v>
      </c>
      <c r="H6" s="173">
        <v>281137</v>
      </c>
      <c r="I6" s="9">
        <v>257907</v>
      </c>
      <c r="J6" s="9">
        <v>287730</v>
      </c>
      <c r="K6" s="9">
        <v>256955</v>
      </c>
      <c r="L6" s="9">
        <v>227837</v>
      </c>
      <c r="M6" s="9">
        <v>285253</v>
      </c>
      <c r="N6" s="9">
        <v>217565</v>
      </c>
      <c r="O6" s="9">
        <v>323328</v>
      </c>
      <c r="P6" s="9">
        <v>198338</v>
      </c>
      <c r="Q6" s="9">
        <v>222977.31397459164</v>
      </c>
      <c r="R6" s="9">
        <v>198013.611615245</v>
      </c>
      <c r="S6" s="9">
        <v>248474.59165154264</v>
      </c>
      <c r="T6" s="9">
        <v>172649.7277676951</v>
      </c>
      <c r="U6" s="22">
        <v>179986.388384755</v>
      </c>
      <c r="W6">
        <v>241759</v>
      </c>
      <c r="AA6">
        <v>11426299</v>
      </c>
      <c r="AB6">
        <v>12686611</v>
      </c>
    </row>
    <row r="7" spans="1:28" ht="12.75">
      <c r="A7" s="13" t="s">
        <v>8</v>
      </c>
      <c r="B7" s="20">
        <f t="shared" si="0"/>
        <v>0.031161375014139975</v>
      </c>
      <c r="C7" s="176"/>
      <c r="D7" s="173"/>
      <c r="E7" s="221">
        <f>19598614*(42*0.453592/1000)</f>
        <v>373370.529902496</v>
      </c>
      <c r="F7" s="9">
        <f>19006350*(42*0.453592/1000)</f>
        <v>362087.38898640004</v>
      </c>
      <c r="G7" s="173">
        <v>398858</v>
      </c>
      <c r="H7" s="173">
        <v>478941</v>
      </c>
      <c r="I7" s="9">
        <v>401534</v>
      </c>
      <c r="J7" s="9">
        <v>472138</v>
      </c>
      <c r="K7" s="9">
        <v>436331</v>
      </c>
      <c r="L7" s="9">
        <v>342689</v>
      </c>
      <c r="M7" s="9">
        <v>434521</v>
      </c>
      <c r="N7" s="9">
        <v>350521</v>
      </c>
      <c r="O7" s="9">
        <v>335047</v>
      </c>
      <c r="P7" s="9">
        <v>308711</v>
      </c>
      <c r="Q7" s="9">
        <v>281613.43012704176</v>
      </c>
      <c r="R7" s="9">
        <v>251828.4936479129</v>
      </c>
      <c r="S7" s="9">
        <v>255830.30852994556</v>
      </c>
      <c r="T7" s="9">
        <v>222196.00725952812</v>
      </c>
      <c r="U7" s="22">
        <v>177566.2431941924</v>
      </c>
      <c r="W7">
        <v>362190</v>
      </c>
      <c r="AA7">
        <v>19598614</v>
      </c>
      <c r="AB7">
        <v>19006350</v>
      </c>
    </row>
    <row r="8" spans="1:28" ht="12.75">
      <c r="A8" s="13" t="s">
        <v>2</v>
      </c>
      <c r="B8" s="20">
        <f t="shared" si="0"/>
        <v>-0.16136017826816798</v>
      </c>
      <c r="C8" s="176"/>
      <c r="D8" s="173"/>
      <c r="E8" s="221">
        <f>3844413*(42*0.453592/1000)</f>
        <v>73239.389222832</v>
      </c>
      <c r="F8" s="9">
        <f>4584105*(42*0.453592/1000)</f>
        <v>87331.16091672001</v>
      </c>
      <c r="G8" s="173">
        <v>85113</v>
      </c>
      <c r="H8" s="173">
        <v>138691</v>
      </c>
      <c r="I8" s="9">
        <v>91737</v>
      </c>
      <c r="J8" s="9">
        <v>146638</v>
      </c>
      <c r="K8" s="9">
        <v>138310</v>
      </c>
      <c r="L8" s="9">
        <v>150907</v>
      </c>
      <c r="M8" s="9">
        <v>216136</v>
      </c>
      <c r="N8" s="9">
        <v>185646</v>
      </c>
      <c r="O8" s="9">
        <v>210495</v>
      </c>
      <c r="P8" s="9">
        <v>191877</v>
      </c>
      <c r="Q8" s="9">
        <v>200033.57531760435</v>
      </c>
      <c r="R8" s="9">
        <v>199690.5626134301</v>
      </c>
      <c r="S8" s="9">
        <v>257507.25952813067</v>
      </c>
      <c r="T8" s="9">
        <v>201939.20145190562</v>
      </c>
      <c r="U8" s="22">
        <v>179109.8003629764</v>
      </c>
      <c r="W8">
        <v>87356</v>
      </c>
      <c r="AA8">
        <v>3844413</v>
      </c>
      <c r="AB8">
        <v>4584105</v>
      </c>
    </row>
    <row r="9" spans="1:28" ht="12.75">
      <c r="A9" s="13" t="s">
        <v>16</v>
      </c>
      <c r="B9" s="20">
        <f t="shared" si="0"/>
        <v>-0.28790165380563404</v>
      </c>
      <c r="C9" s="176"/>
      <c r="D9" s="173"/>
      <c r="E9" s="221">
        <f>9827294*(42*0.453592/1000)</f>
        <v>187218.441482016</v>
      </c>
      <c r="F9" s="9">
        <f>13800473*(42*0.453592/1000)</f>
        <v>262910.934258672</v>
      </c>
      <c r="G9" s="173">
        <v>215795</v>
      </c>
      <c r="H9" s="173">
        <v>268636</v>
      </c>
      <c r="I9" s="9">
        <v>198985</v>
      </c>
      <c r="J9" s="9">
        <v>318163</v>
      </c>
      <c r="K9" s="9">
        <v>230104</v>
      </c>
      <c r="L9" s="9">
        <v>270046</v>
      </c>
      <c r="M9" s="9">
        <v>259661</v>
      </c>
      <c r="N9" s="9">
        <v>244778</v>
      </c>
      <c r="O9" s="9">
        <v>206665</v>
      </c>
      <c r="P9" s="9">
        <v>196870.23593466423</v>
      </c>
      <c r="Q9" s="9">
        <v>200452.81306715062</v>
      </c>
      <c r="R9" s="9">
        <v>186141.5607985481</v>
      </c>
      <c r="S9" s="9">
        <v>272980.943738657</v>
      </c>
      <c r="T9" s="9">
        <v>197594.37386569873</v>
      </c>
      <c r="U9" s="22">
        <v>220023.59346642467</v>
      </c>
      <c r="W9">
        <v>262985</v>
      </c>
      <c r="AA9">
        <v>9827294</v>
      </c>
      <c r="AB9">
        <v>13800473</v>
      </c>
    </row>
    <row r="10" spans="1:28" ht="12.75">
      <c r="A10" s="13" t="s">
        <v>158</v>
      </c>
      <c r="B10" s="20">
        <f t="shared" si="0"/>
        <v>-0.07380212264544476</v>
      </c>
      <c r="C10" s="176"/>
      <c r="D10" s="173"/>
      <c r="E10" s="221">
        <f>9436317*(42*0.453592/1000)</f>
        <v>179769.991827888</v>
      </c>
      <c r="F10" s="9">
        <f>10188230*(42*0.453592/1000)</f>
        <v>194094.58413072</v>
      </c>
      <c r="G10" s="173">
        <v>234693</v>
      </c>
      <c r="H10" s="173">
        <v>239575</v>
      </c>
      <c r="I10" s="9">
        <v>176423</v>
      </c>
      <c r="J10" s="9">
        <v>165123</v>
      </c>
      <c r="K10" s="9">
        <v>106448</v>
      </c>
      <c r="L10" s="9">
        <v>82571</v>
      </c>
      <c r="M10" s="9">
        <v>67859</v>
      </c>
      <c r="N10" s="9">
        <v>47526</v>
      </c>
      <c r="O10" s="9"/>
      <c r="P10" s="9"/>
      <c r="Q10" s="9"/>
      <c r="R10" s="9"/>
      <c r="S10" s="9"/>
      <c r="T10" s="9"/>
      <c r="U10" s="22"/>
      <c r="W10">
        <v>194150</v>
      </c>
      <c r="AA10">
        <v>9436317</v>
      </c>
      <c r="AB10">
        <v>10188230</v>
      </c>
    </row>
    <row r="11" spans="1:28" ht="12.75">
      <c r="A11" s="14" t="s">
        <v>9</v>
      </c>
      <c r="B11" s="20">
        <f t="shared" si="0"/>
        <v>1.6541219755550014</v>
      </c>
      <c r="C11" s="176"/>
      <c r="D11" s="173"/>
      <c r="E11" s="221">
        <f>170246*(42*0.453592/1000)</f>
        <v>3243.333392544</v>
      </c>
      <c r="F11" s="9">
        <f>64144*(42*0.453592/1000)</f>
        <v>1221.998620416</v>
      </c>
      <c r="G11" s="173">
        <v>4151</v>
      </c>
      <c r="H11" s="173">
        <v>3316</v>
      </c>
      <c r="I11" s="9">
        <v>2115</v>
      </c>
      <c r="J11" s="9">
        <v>3964</v>
      </c>
      <c r="K11" s="9">
        <v>5279</v>
      </c>
      <c r="L11" s="54">
        <v>4097</v>
      </c>
      <c r="M11" s="54">
        <v>5831</v>
      </c>
      <c r="N11" s="54">
        <v>9585</v>
      </c>
      <c r="O11" s="54">
        <v>1391</v>
      </c>
      <c r="P11" s="54">
        <v>7946.460980036298</v>
      </c>
      <c r="Q11" s="54">
        <v>3944.64609800363</v>
      </c>
      <c r="R11" s="54">
        <v>9070.780399274046</v>
      </c>
      <c r="S11" s="54">
        <v>8994.555353901997</v>
      </c>
      <c r="T11" s="9">
        <v>6669.691470054447</v>
      </c>
      <c r="U11" s="22">
        <v>8365.698729582577</v>
      </c>
      <c r="W11">
        <v>1222</v>
      </c>
      <c r="AA11">
        <v>170246</v>
      </c>
      <c r="AB11">
        <v>64144</v>
      </c>
    </row>
    <row r="12" spans="1:21" ht="12.75">
      <c r="A12" s="14" t="s">
        <v>26</v>
      </c>
      <c r="B12" s="20"/>
      <c r="C12" s="176"/>
      <c r="D12" s="173"/>
      <c r="E12" s="221">
        <f>0*(42*0.453592/1000)</f>
        <v>0</v>
      </c>
      <c r="F12" s="9">
        <f>0*(42*0.453592/1000)</f>
        <v>0</v>
      </c>
      <c r="G12" s="173"/>
      <c r="H12" s="173"/>
      <c r="I12" s="9">
        <v>12863</v>
      </c>
      <c r="J12" s="9">
        <v>12139</v>
      </c>
      <c r="K12" s="9">
        <v>16979</v>
      </c>
      <c r="L12" s="54">
        <v>15340</v>
      </c>
      <c r="M12" s="54">
        <v>23534</v>
      </c>
      <c r="N12" s="54">
        <v>24868</v>
      </c>
      <c r="O12" s="54">
        <v>14692</v>
      </c>
      <c r="P12" s="54">
        <v>19342.105263157893</v>
      </c>
      <c r="Q12" s="54">
        <v>20961.887477313976</v>
      </c>
      <c r="R12" s="54">
        <v>23267.695099818513</v>
      </c>
      <c r="S12" s="54">
        <v>24163.33938294011</v>
      </c>
      <c r="T12" s="9">
        <v>14978.221415607986</v>
      </c>
      <c r="U12" s="22">
        <v>20028.13067150635</v>
      </c>
    </row>
    <row r="13" spans="1:28" ht="12.75">
      <c r="A13" s="14" t="s">
        <v>49</v>
      </c>
      <c r="B13" s="20">
        <f t="shared" si="0"/>
        <v>0.6183912486172324</v>
      </c>
      <c r="C13" s="176"/>
      <c r="D13" s="173"/>
      <c r="E13" s="221">
        <f>92169*(42*0.453592/1000)</f>
        <v>1755.899084016</v>
      </c>
      <c r="F13" s="9">
        <f>56951*(42*0.453592/1000)</f>
        <v>1084.965755664</v>
      </c>
      <c r="G13" s="173">
        <v>2102</v>
      </c>
      <c r="H13" s="173">
        <v>1944</v>
      </c>
      <c r="I13" s="9">
        <v>3354</v>
      </c>
      <c r="J13" s="9">
        <v>1791</v>
      </c>
      <c r="K13" s="9">
        <v>5088</v>
      </c>
      <c r="L13" s="54">
        <v>5469</v>
      </c>
      <c r="M13" s="54">
        <v>5869</v>
      </c>
      <c r="N13" s="54">
        <v>7451</v>
      </c>
      <c r="O13" s="54">
        <v>38</v>
      </c>
      <c r="P13" s="54">
        <v>13701.451905626134</v>
      </c>
      <c r="Q13" s="54">
        <v>5411.978221415608</v>
      </c>
      <c r="R13" s="54">
        <v>14235.02722323049</v>
      </c>
      <c r="S13" s="54">
        <v>5850.2722323049</v>
      </c>
      <c r="T13" s="9">
        <v>4058.983666061706</v>
      </c>
      <c r="U13" s="22">
        <v>6574.410163339383</v>
      </c>
      <c r="W13">
        <v>1085</v>
      </c>
      <c r="AA13">
        <v>92169</v>
      </c>
      <c r="AB13">
        <v>56951</v>
      </c>
    </row>
    <row r="14" spans="1:28" ht="12.75">
      <c r="A14" s="14" t="s">
        <v>50</v>
      </c>
      <c r="B14" s="20">
        <f t="shared" si="0"/>
        <v>-0.04152706236006957</v>
      </c>
      <c r="C14" s="176"/>
      <c r="D14" s="173"/>
      <c r="E14" s="221">
        <f>979498*(42*0.453592/1000)</f>
        <v>18660.283186272</v>
      </c>
      <c r="F14" s="9">
        <f>1021936*(42*0.453592/1000)</f>
        <v>19468.763752704002</v>
      </c>
      <c r="G14" s="173">
        <v>25845</v>
      </c>
      <c r="H14" s="173">
        <v>34854</v>
      </c>
      <c r="I14" s="9">
        <v>37141</v>
      </c>
      <c r="J14" s="9">
        <v>36779</v>
      </c>
      <c r="K14" s="9">
        <v>32662</v>
      </c>
      <c r="L14" s="54">
        <v>49661</v>
      </c>
      <c r="M14" s="54">
        <v>45392</v>
      </c>
      <c r="N14" s="54">
        <v>47298</v>
      </c>
      <c r="O14" s="54">
        <v>19971</v>
      </c>
      <c r="P14" s="54">
        <v>31557</v>
      </c>
      <c r="Q14" s="54">
        <v>29270.417422867515</v>
      </c>
      <c r="R14" s="54">
        <v>49984.57350272232</v>
      </c>
      <c r="S14" s="54">
        <v>43505.444646098</v>
      </c>
      <c r="T14" s="9">
        <v>39255.89836660617</v>
      </c>
      <c r="U14" s="22">
        <v>37502.722323049005</v>
      </c>
      <c r="W14">
        <v>19474</v>
      </c>
      <c r="AA14">
        <v>979498</v>
      </c>
      <c r="AB14">
        <v>1021936</v>
      </c>
    </row>
    <row r="15" spans="1:28" ht="12.75">
      <c r="A15" s="14" t="s">
        <v>51</v>
      </c>
      <c r="B15" s="20">
        <f t="shared" si="0"/>
        <v>0.5399878069057252</v>
      </c>
      <c r="C15" s="176"/>
      <c r="D15" s="173"/>
      <c r="E15" s="221">
        <f>55572*(42*0.453592/1000)</f>
        <v>1058.694614208</v>
      </c>
      <c r="F15" s="9">
        <f>36086*(42*0.453592/1000)</f>
        <v>687.4694783040001</v>
      </c>
      <c r="G15" s="173">
        <v>1244</v>
      </c>
      <c r="H15" s="173">
        <v>1601</v>
      </c>
      <c r="I15" s="9">
        <v>1448</v>
      </c>
      <c r="J15" s="9">
        <v>2211</v>
      </c>
      <c r="K15" s="9">
        <v>2592</v>
      </c>
      <c r="L15" s="54">
        <v>1429</v>
      </c>
      <c r="M15" s="54">
        <v>1410</v>
      </c>
      <c r="N15" s="54">
        <v>2249</v>
      </c>
      <c r="O15" s="54">
        <v>1525</v>
      </c>
      <c r="P15" s="54">
        <v>3487</v>
      </c>
      <c r="Q15" s="54">
        <v>3296.733212341198</v>
      </c>
      <c r="R15" s="54">
        <v>3296.733212341198</v>
      </c>
      <c r="S15" s="54">
        <v>3677.858439201452</v>
      </c>
      <c r="T15" s="9">
        <v>5678.765880217786</v>
      </c>
      <c r="U15" s="22">
        <v>4230.49001814882</v>
      </c>
      <c r="W15">
        <v>688</v>
      </c>
      <c r="AA15">
        <v>55572</v>
      </c>
      <c r="AB15">
        <v>36086</v>
      </c>
    </row>
    <row r="16" spans="1:28" ht="12.75">
      <c r="A16" s="14" t="s">
        <v>52</v>
      </c>
      <c r="B16" s="20">
        <f t="shared" si="0"/>
        <v>-0.1452575677110992</v>
      </c>
      <c r="C16" s="176"/>
      <c r="D16" s="173"/>
      <c r="E16" s="221">
        <f>40237*(42*0.453592/1000)</f>
        <v>766.5496147680001</v>
      </c>
      <c r="F16" s="9">
        <f>47075*(42*0.453592/1000)</f>
        <v>896.8194228</v>
      </c>
      <c r="G16" s="173">
        <v>955</v>
      </c>
      <c r="H16" s="173">
        <v>1544</v>
      </c>
      <c r="I16" s="9">
        <v>877</v>
      </c>
      <c r="J16" s="9">
        <v>19</v>
      </c>
      <c r="K16" s="9">
        <v>0</v>
      </c>
      <c r="L16" s="54">
        <v>19</v>
      </c>
      <c r="M16" s="54">
        <v>0</v>
      </c>
      <c r="N16" s="54">
        <v>57</v>
      </c>
      <c r="O16" s="54">
        <v>419</v>
      </c>
      <c r="P16" s="54">
        <v>1581.6696914700544</v>
      </c>
      <c r="Q16" s="54">
        <v>2096.1887477313976</v>
      </c>
      <c r="R16" s="54">
        <v>5888.384754990926</v>
      </c>
      <c r="S16" s="54">
        <v>3372.9582577132487</v>
      </c>
      <c r="T16" s="9">
        <v>381.1252268602541</v>
      </c>
      <c r="U16" s="22">
        <v>171.50635208711435</v>
      </c>
      <c r="W16">
        <v>897</v>
      </c>
      <c r="AA16">
        <v>40237</v>
      </c>
      <c r="AB16">
        <v>47075</v>
      </c>
    </row>
    <row r="17" spans="1:21" ht="12.75">
      <c r="A17" s="14" t="s">
        <v>53</v>
      </c>
      <c r="B17" s="20"/>
      <c r="C17" s="176"/>
      <c r="D17" s="173"/>
      <c r="E17" s="221">
        <f>0*(42*0.453592/1000)</f>
        <v>0</v>
      </c>
      <c r="F17" s="9">
        <f>0*(42*0.453592/1000)</f>
        <v>0</v>
      </c>
      <c r="G17" s="173"/>
      <c r="H17" s="173"/>
      <c r="I17" s="9">
        <v>0</v>
      </c>
      <c r="J17" s="9">
        <v>0</v>
      </c>
      <c r="K17" s="9">
        <v>19</v>
      </c>
      <c r="L17" s="54">
        <v>19</v>
      </c>
      <c r="M17" s="54">
        <v>0</v>
      </c>
      <c r="N17" s="54">
        <v>1048</v>
      </c>
      <c r="O17" s="54">
        <v>19</v>
      </c>
      <c r="P17" s="54">
        <v>57.168784029038115</v>
      </c>
      <c r="Q17" s="54">
        <v>0</v>
      </c>
      <c r="R17" s="54">
        <v>438.2940108892922</v>
      </c>
      <c r="S17" s="54">
        <v>19.056261343012704</v>
      </c>
      <c r="T17" s="9">
        <v>95.28130671506352</v>
      </c>
      <c r="U17" s="22">
        <v>114.33756805807623</v>
      </c>
    </row>
    <row r="18" spans="1:28" ht="12.75">
      <c r="A18" s="15" t="s">
        <v>21</v>
      </c>
      <c r="B18" s="20">
        <f t="shared" si="0"/>
        <v>-0.2014425291464685</v>
      </c>
      <c r="C18" s="176"/>
      <c r="D18" s="173"/>
      <c r="E18" s="221">
        <f>5942919*(42*0.453592/1000)</f>
        <v>113217.741632016</v>
      </c>
      <c r="F18" s="9">
        <f>7442068*(42*0.453592/1000)</f>
        <v>141777.825346752</v>
      </c>
      <c r="G18" s="173">
        <v>113099</v>
      </c>
      <c r="H18" s="173">
        <v>107477</v>
      </c>
      <c r="I18" s="9">
        <v>101322</v>
      </c>
      <c r="J18" s="9">
        <v>94405</v>
      </c>
      <c r="K18" s="9">
        <v>104181</v>
      </c>
      <c r="L18" s="9">
        <v>92366</v>
      </c>
      <c r="M18" s="9">
        <v>72852</v>
      </c>
      <c r="N18" s="9">
        <v>60084</v>
      </c>
      <c r="O18" s="9">
        <v>62619</v>
      </c>
      <c r="P18" s="9">
        <v>50270.41742286751</v>
      </c>
      <c r="Q18" s="9">
        <v>54462.794918330306</v>
      </c>
      <c r="R18" s="9">
        <v>59836.66061705989</v>
      </c>
      <c r="S18" s="9">
        <v>48593.466424682396</v>
      </c>
      <c r="T18" s="9">
        <v>45372.958257713246</v>
      </c>
      <c r="U18" s="22">
        <v>34568.05807622505</v>
      </c>
      <c r="W18">
        <v>141818</v>
      </c>
      <c r="AA18">
        <v>5942919</v>
      </c>
      <c r="AB18">
        <v>7442068</v>
      </c>
    </row>
    <row r="19" spans="1:28" ht="12.75">
      <c r="A19" s="14" t="s">
        <v>18</v>
      </c>
      <c r="B19" s="20">
        <f t="shared" si="0"/>
        <v>-0.17996066811091999</v>
      </c>
      <c r="C19" s="176"/>
      <c r="D19" s="173"/>
      <c r="E19" s="221">
        <f>13955636*(42*0.453592/1000)</f>
        <v>265866.923469504</v>
      </c>
      <c r="F19" s="9">
        <f>17018252*(42*0.453592/1000)</f>
        <v>324212.404369728</v>
      </c>
      <c r="G19" s="173">
        <v>369791</v>
      </c>
      <c r="H19" s="173">
        <v>481018</v>
      </c>
      <c r="I19" s="9">
        <v>499045</v>
      </c>
      <c r="J19" s="9">
        <v>602197</v>
      </c>
      <c r="K19" s="9">
        <v>676116</v>
      </c>
      <c r="L19" s="54">
        <v>538168</v>
      </c>
      <c r="M19" s="54">
        <v>804308</v>
      </c>
      <c r="N19" s="54">
        <v>608009</v>
      </c>
      <c r="O19" s="54">
        <v>650828</v>
      </c>
      <c r="P19" s="54">
        <v>599815</v>
      </c>
      <c r="Q19" s="54">
        <v>547219.6007259528</v>
      </c>
      <c r="R19" s="54">
        <v>627103.448275862</v>
      </c>
      <c r="S19" s="54">
        <v>618871.1433756805</v>
      </c>
      <c r="T19" s="9">
        <v>555375.6805807622</v>
      </c>
      <c r="U19" s="22">
        <v>617594.3738656987</v>
      </c>
      <c r="W19">
        <v>324304</v>
      </c>
      <c r="AA19">
        <v>13955636</v>
      </c>
      <c r="AB19">
        <v>17018252</v>
      </c>
    </row>
    <row r="20" spans="1:28" ht="12.75">
      <c r="A20" s="14" t="s">
        <v>54</v>
      </c>
      <c r="B20" s="20">
        <f t="shared" si="0"/>
        <v>0.11251134186914011</v>
      </c>
      <c r="C20" s="176"/>
      <c r="D20" s="173"/>
      <c r="E20" s="221">
        <f>187595*(42*0.453592/1000)</f>
        <v>3573.8468320800002</v>
      </c>
      <c r="F20" s="9">
        <f>168623*(42*0.453592/1000)</f>
        <v>3212.413840272</v>
      </c>
      <c r="G20" s="173">
        <v>3480</v>
      </c>
      <c r="H20" s="173">
        <v>7546</v>
      </c>
      <c r="I20" s="9">
        <v>4955</v>
      </c>
      <c r="J20" s="9">
        <v>8061</v>
      </c>
      <c r="K20" s="9">
        <v>9642</v>
      </c>
      <c r="L20" s="54">
        <v>6479</v>
      </c>
      <c r="M20" s="54">
        <v>8175</v>
      </c>
      <c r="N20" s="54">
        <v>7184</v>
      </c>
      <c r="O20" s="54">
        <v>4116</v>
      </c>
      <c r="P20" s="54">
        <v>8251.3611615245</v>
      </c>
      <c r="Q20" s="54">
        <v>6212.341197822141</v>
      </c>
      <c r="R20" s="54">
        <v>8689.655172413793</v>
      </c>
      <c r="S20" s="54">
        <v>9108.892921960072</v>
      </c>
      <c r="T20" s="9">
        <v>10423.774954627948</v>
      </c>
      <c r="U20" s="22">
        <v>12539.01996370236</v>
      </c>
      <c r="W20">
        <v>3213</v>
      </c>
      <c r="AA20">
        <v>187595</v>
      </c>
      <c r="AB20">
        <v>168623</v>
      </c>
    </row>
    <row r="21" spans="1:28" ht="12.75">
      <c r="A21" s="14" t="s">
        <v>55</v>
      </c>
      <c r="B21" s="20">
        <f t="shared" si="0"/>
        <v>1.4507337526205448</v>
      </c>
      <c r="C21" s="176"/>
      <c r="D21" s="173"/>
      <c r="E21" s="221">
        <f>33901*(42*0.453592/1000)</f>
        <v>645.843340464</v>
      </c>
      <c r="F21" s="9">
        <f>13833*(42*0.453592/1000)</f>
        <v>263.530601712</v>
      </c>
      <c r="G21" s="173">
        <v>715</v>
      </c>
      <c r="H21" s="173">
        <v>705</v>
      </c>
      <c r="I21" s="9">
        <v>991</v>
      </c>
      <c r="J21" s="9">
        <v>2096</v>
      </c>
      <c r="K21" s="9">
        <v>3544</v>
      </c>
      <c r="L21" s="54">
        <v>5240</v>
      </c>
      <c r="M21" s="54">
        <v>4021</v>
      </c>
      <c r="N21" s="54">
        <v>8518</v>
      </c>
      <c r="O21" s="54">
        <v>1734</v>
      </c>
      <c r="P21" s="54">
        <v>6384</v>
      </c>
      <c r="Q21" s="54">
        <v>7736.8421052631575</v>
      </c>
      <c r="R21" s="54">
        <v>9661.52450090744</v>
      </c>
      <c r="S21" s="54">
        <v>11891.107078039928</v>
      </c>
      <c r="T21" s="9">
        <v>8308.529945553539</v>
      </c>
      <c r="U21" s="22">
        <v>15416.515426497277</v>
      </c>
      <c r="W21">
        <v>264</v>
      </c>
      <c r="AA21">
        <v>33901</v>
      </c>
      <c r="AB21">
        <v>13833</v>
      </c>
    </row>
    <row r="22" spans="1:28" ht="12.75">
      <c r="A22" s="14" t="s">
        <v>34</v>
      </c>
      <c r="B22" s="20">
        <f t="shared" si="0"/>
        <v>-0.006511026071635046</v>
      </c>
      <c r="C22" s="176"/>
      <c r="D22" s="173"/>
      <c r="E22" s="221">
        <f>144346*(42*0.453592/1000)</f>
        <v>2749.916014944</v>
      </c>
      <c r="F22" s="9">
        <f>145292*(42*0.453592/1000)</f>
        <v>2767.938132288</v>
      </c>
      <c r="G22" s="173">
        <v>2182</v>
      </c>
      <c r="H22" s="173">
        <v>2001</v>
      </c>
      <c r="I22" s="9">
        <v>2744</v>
      </c>
      <c r="J22" s="9">
        <v>3144</v>
      </c>
      <c r="K22" s="9">
        <v>1772</v>
      </c>
      <c r="L22" s="54">
        <v>1868</v>
      </c>
      <c r="M22" s="54">
        <v>2858</v>
      </c>
      <c r="N22" s="54">
        <v>2191</v>
      </c>
      <c r="O22" s="54">
        <v>1334</v>
      </c>
      <c r="P22" s="54">
        <v>2972.776769509982</v>
      </c>
      <c r="Q22" s="54">
        <v>2191.470054446461</v>
      </c>
      <c r="R22" s="54">
        <v>3735.02722323049</v>
      </c>
      <c r="S22" s="54">
        <v>2343.920145190563</v>
      </c>
      <c r="T22" s="9">
        <v>3849.3647912885663</v>
      </c>
      <c r="U22" s="22">
        <v>4611.615245009074</v>
      </c>
      <c r="W22">
        <v>2769</v>
      </c>
      <c r="AA22">
        <v>144346</v>
      </c>
      <c r="AB22">
        <v>145292</v>
      </c>
    </row>
    <row r="23" spans="1:28" ht="12.75">
      <c r="A23" s="14" t="s">
        <v>19</v>
      </c>
      <c r="B23" s="20">
        <f t="shared" si="0"/>
        <v>0.07646332748651971</v>
      </c>
      <c r="C23" s="176"/>
      <c r="D23" s="173"/>
      <c r="E23" s="221">
        <f>16570*(42*0.453592/1000)</f>
        <v>315.67281648</v>
      </c>
      <c r="F23" s="9">
        <f>15393*(42*0.453592/1000)</f>
        <v>293.24994955200003</v>
      </c>
      <c r="G23" s="173">
        <v>302</v>
      </c>
      <c r="H23" s="173">
        <v>572</v>
      </c>
      <c r="I23" s="9">
        <v>610</v>
      </c>
      <c r="J23" s="9">
        <v>896</v>
      </c>
      <c r="K23" s="9">
        <v>553</v>
      </c>
      <c r="L23" s="54">
        <v>2020</v>
      </c>
      <c r="M23" s="54">
        <v>915</v>
      </c>
      <c r="N23" s="54">
        <v>800</v>
      </c>
      <c r="O23" s="54">
        <v>629</v>
      </c>
      <c r="P23" s="54">
        <v>1029.038112522686</v>
      </c>
      <c r="Q23" s="54">
        <v>1200.5444646098003</v>
      </c>
      <c r="R23" s="54">
        <v>1638.8384754990925</v>
      </c>
      <c r="S23" s="54">
        <v>1848.4573502722324</v>
      </c>
      <c r="T23" s="9">
        <v>1696.0072595281306</v>
      </c>
      <c r="U23" s="22">
        <v>2362.9764065335753</v>
      </c>
      <c r="W23">
        <v>293</v>
      </c>
      <c r="AA23">
        <v>16570</v>
      </c>
      <c r="AB23">
        <v>15393</v>
      </c>
    </row>
    <row r="24" spans="1:21" ht="12.75">
      <c r="A24" s="14" t="s">
        <v>56</v>
      </c>
      <c r="B24" s="20"/>
      <c r="C24" s="176"/>
      <c r="D24" s="173"/>
      <c r="E24" s="221">
        <f>0*(42*0.453592/1000)</f>
        <v>0</v>
      </c>
      <c r="F24" s="9">
        <f>0*(42*0.453592/1000)</f>
        <v>0</v>
      </c>
      <c r="G24" s="173"/>
      <c r="H24" s="173"/>
      <c r="I24" s="9">
        <v>0</v>
      </c>
      <c r="J24" s="9">
        <v>0</v>
      </c>
      <c r="K24" s="9">
        <v>0</v>
      </c>
      <c r="L24" s="54">
        <v>0</v>
      </c>
      <c r="M24" s="54">
        <v>0</v>
      </c>
      <c r="N24" s="54">
        <v>267</v>
      </c>
      <c r="O24" s="54">
        <v>0</v>
      </c>
      <c r="P24" s="54">
        <v>152.45009074410163</v>
      </c>
      <c r="Q24" s="54">
        <v>95.28130671506352</v>
      </c>
      <c r="R24" s="54">
        <v>133.39382940108894</v>
      </c>
      <c r="S24" s="54">
        <v>343.0127041742287</v>
      </c>
      <c r="T24" s="9">
        <v>190.56261343012704</v>
      </c>
      <c r="U24" s="22">
        <v>705.0816696914701</v>
      </c>
    </row>
    <row r="25" spans="1:28" ht="12.75">
      <c r="A25" s="14" t="s">
        <v>57</v>
      </c>
      <c r="B25" s="20">
        <f t="shared" si="0"/>
        <v>-0.11605119725641498</v>
      </c>
      <c r="C25" s="176"/>
      <c r="D25" s="173"/>
      <c r="E25" s="221">
        <f>43302*(42*0.453592/1000)</f>
        <v>824.940512928</v>
      </c>
      <c r="F25" s="9">
        <f>48987*(42*0.453592/1000)</f>
        <v>933.244674768</v>
      </c>
      <c r="G25" s="173">
        <v>934</v>
      </c>
      <c r="H25" s="173">
        <v>877</v>
      </c>
      <c r="I25" s="9">
        <v>953</v>
      </c>
      <c r="J25" s="9">
        <v>38</v>
      </c>
      <c r="K25" s="9">
        <v>229</v>
      </c>
      <c r="L25" s="54">
        <v>248</v>
      </c>
      <c r="M25" s="54">
        <v>248</v>
      </c>
      <c r="N25" s="54">
        <v>305</v>
      </c>
      <c r="O25" s="54">
        <v>19</v>
      </c>
      <c r="P25" s="54">
        <v>3220.508166969147</v>
      </c>
      <c r="Q25" s="54">
        <v>990.9255898366606</v>
      </c>
      <c r="R25" s="54">
        <v>819.4192377495463</v>
      </c>
      <c r="S25" s="54">
        <v>666.9691470054446</v>
      </c>
      <c r="T25" s="9">
        <v>1162.431941923775</v>
      </c>
      <c r="U25" s="22">
        <v>609.8003629764065</v>
      </c>
      <c r="W25">
        <v>934</v>
      </c>
      <c r="AA25">
        <v>43302</v>
      </c>
      <c r="AB25">
        <v>48987</v>
      </c>
    </row>
    <row r="26" spans="1:28" ht="13.5" thickBot="1">
      <c r="A26" s="14" t="s">
        <v>58</v>
      </c>
      <c r="B26" s="20">
        <f t="shared" si="0"/>
        <v>0.14512451739138965</v>
      </c>
      <c r="C26" s="176"/>
      <c r="D26" s="173"/>
      <c r="E26" s="221">
        <f>(9051604+1561252)*(42*0.453592/1000)</f>
        <v>202184.076307584</v>
      </c>
      <c r="F26" s="9">
        <f>(7802954+1464908)*(42*0.453592/1000)</f>
        <v>176560.77853276802</v>
      </c>
      <c r="G26" s="173">
        <f>134494+25468+3</f>
        <v>159965</v>
      </c>
      <c r="H26" s="173">
        <f>22391+141874</f>
        <v>164265</v>
      </c>
      <c r="I26" s="9">
        <f>106296+18466</f>
        <v>124762</v>
      </c>
      <c r="J26" s="9">
        <v>133889</v>
      </c>
      <c r="K26" s="9">
        <v>205026</v>
      </c>
      <c r="L26" s="54">
        <v>164379</v>
      </c>
      <c r="M26" s="54">
        <v>159139</v>
      </c>
      <c r="N26" s="54">
        <v>113728</v>
      </c>
      <c r="O26" s="54">
        <v>66544</v>
      </c>
      <c r="P26" s="54">
        <v>67687.84029038112</v>
      </c>
      <c r="Q26" s="54">
        <v>53052.63157894737</v>
      </c>
      <c r="R26" s="54">
        <v>64467.33212341198</v>
      </c>
      <c r="S26" s="54">
        <v>64410.16333938294</v>
      </c>
      <c r="T26" s="9">
        <v>49832.123411978224</v>
      </c>
      <c r="U26" s="22">
        <v>42476.40653357532</v>
      </c>
      <c r="W26">
        <v>176612</v>
      </c>
      <c r="AA26">
        <v>10612856</v>
      </c>
      <c r="AB26">
        <v>9267862</v>
      </c>
    </row>
    <row r="27" spans="1:21" ht="13.5" thickBot="1">
      <c r="A27" s="213" t="s">
        <v>22</v>
      </c>
      <c r="B27" s="166">
        <f t="shared" si="0"/>
        <v>-0.06796445429290844</v>
      </c>
      <c r="C27" s="177"/>
      <c r="D27" s="175"/>
      <c r="E27" s="214">
        <f>SUM(E2:E26)</f>
        <v>1778793.8789470082</v>
      </c>
      <c r="F27" s="175">
        <f>SUM(F2:F26)</f>
        <v>1908504.334561104</v>
      </c>
      <c r="G27" s="175">
        <f>SUM(G2:G26)</f>
        <v>1959508</v>
      </c>
      <c r="H27" s="175">
        <f>SUM(H2:H26)</f>
        <v>2255462</v>
      </c>
      <c r="I27" s="150">
        <f>SUM(I2:I26)</f>
        <v>1967236</v>
      </c>
      <c r="J27" s="150">
        <v>2342435</v>
      </c>
      <c r="K27" s="150">
        <f aca="true" t="shared" si="1" ref="K27:U27">SUM(K2:K26)</f>
        <v>2291572</v>
      </c>
      <c r="L27" s="150">
        <f t="shared" si="1"/>
        <v>2024576</v>
      </c>
      <c r="M27" s="150">
        <f t="shared" si="1"/>
        <v>2474684</v>
      </c>
      <c r="N27" s="150">
        <f t="shared" si="1"/>
        <v>2007519</v>
      </c>
      <c r="O27" s="150">
        <f t="shared" si="1"/>
        <v>1951168</v>
      </c>
      <c r="P27" s="150">
        <f t="shared" si="1"/>
        <v>1792469.4845735026</v>
      </c>
      <c r="Q27" s="150">
        <f t="shared" si="1"/>
        <v>1733986.3883847552</v>
      </c>
      <c r="R27" s="150">
        <f t="shared" si="1"/>
        <v>1813012.7041742287</v>
      </c>
      <c r="S27" s="150">
        <f t="shared" si="1"/>
        <v>1978859.3466424681</v>
      </c>
      <c r="T27" s="150">
        <f t="shared" si="1"/>
        <v>1645584.3920145188</v>
      </c>
      <c r="U27" s="215">
        <f t="shared" si="1"/>
        <v>1664754.9909255898</v>
      </c>
    </row>
    <row r="28" spans="2:23" s="7" customFormat="1" ht="12.75">
      <c r="B28" s="27"/>
      <c r="C28" s="27"/>
      <c r="D28" s="27"/>
      <c r="E28" s="238"/>
      <c r="F28" s="239"/>
      <c r="G28" s="27"/>
      <c r="H28" s="27"/>
      <c r="I28" s="27"/>
      <c r="J28" s="27"/>
      <c r="K28" s="27"/>
      <c r="L28" s="8"/>
      <c r="M28" s="8"/>
      <c r="N28" s="8"/>
      <c r="O28" s="8"/>
      <c r="P28" s="8"/>
      <c r="Q28" s="8"/>
      <c r="R28" s="8"/>
      <c r="S28" s="8"/>
      <c r="W28" s="8"/>
    </row>
    <row r="29" spans="2:19" s="7" customFormat="1" ht="13.5" thickBot="1"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8"/>
      <c r="M29" s="8"/>
      <c r="N29" s="8"/>
      <c r="O29" s="8"/>
      <c r="P29" s="8"/>
      <c r="Q29" s="8"/>
      <c r="R29" s="8"/>
      <c r="S29" s="8"/>
    </row>
    <row r="30" spans="1:21" s="11" customFormat="1" ht="13.5" thickBot="1">
      <c r="A30" s="16" t="s">
        <v>24</v>
      </c>
      <c r="B30" s="17" t="s">
        <v>182</v>
      </c>
      <c r="C30" s="174" t="s">
        <v>183</v>
      </c>
      <c r="D30" s="55" t="s">
        <v>177</v>
      </c>
      <c r="E30" s="31">
        <v>44896</v>
      </c>
      <c r="F30" s="18">
        <v>44531</v>
      </c>
      <c r="G30" s="18">
        <v>44166</v>
      </c>
      <c r="H30" s="18">
        <v>43800</v>
      </c>
      <c r="I30" s="18">
        <v>43435</v>
      </c>
      <c r="J30" s="18">
        <v>43070</v>
      </c>
      <c r="K30" s="18">
        <v>42705</v>
      </c>
      <c r="L30" s="18">
        <f>L1</f>
        <v>42339</v>
      </c>
      <c r="M30" s="18">
        <f>M1</f>
        <v>41974</v>
      </c>
      <c r="N30" s="18">
        <v>41609</v>
      </c>
      <c r="O30" s="18">
        <v>41244</v>
      </c>
      <c r="P30" s="18">
        <v>40878</v>
      </c>
      <c r="Q30" s="18">
        <v>40513</v>
      </c>
      <c r="R30" s="18">
        <v>40148</v>
      </c>
      <c r="S30" s="18">
        <v>39783</v>
      </c>
      <c r="T30" s="18">
        <v>39417</v>
      </c>
      <c r="U30" s="19">
        <v>39052</v>
      </c>
    </row>
    <row r="31" spans="1:25" ht="12.75">
      <c r="A31" s="13" t="s">
        <v>40</v>
      </c>
      <c r="B31" s="20">
        <f aca="true" t="shared" si="2" ref="B31:B41">(E31-F31)/F31</f>
        <v>0.044212648533329936</v>
      </c>
      <c r="C31" s="176">
        <f>E31-'[1]US'!C31</f>
        <v>131762.72</v>
      </c>
      <c r="D31" s="9">
        <f>F31-'[1]US'!D31</f>
        <v>-24769.14</v>
      </c>
      <c r="E31" s="221">
        <v>131762.72</v>
      </c>
      <c r="F31" s="9">
        <v>126183.8</v>
      </c>
      <c r="G31" s="9">
        <v>112211.14</v>
      </c>
      <c r="H31" s="224">
        <v>134151</v>
      </c>
      <c r="I31" s="9">
        <v>143174</v>
      </c>
      <c r="J31" s="9">
        <v>125301</v>
      </c>
      <c r="K31" s="9">
        <v>113405</v>
      </c>
      <c r="L31" s="9">
        <v>127966.28</v>
      </c>
      <c r="M31" s="9">
        <v>155205.58</v>
      </c>
      <c r="N31" s="9">
        <v>164909.42</v>
      </c>
      <c r="O31" s="9">
        <v>138255.7</v>
      </c>
      <c r="P31" s="9">
        <v>160197.56</v>
      </c>
      <c r="Q31" s="9">
        <v>150776.32</v>
      </c>
      <c r="R31" s="9">
        <v>168584.68</v>
      </c>
      <c r="S31" s="9">
        <v>131508.94</v>
      </c>
      <c r="T31" s="9">
        <v>148064.32</v>
      </c>
      <c r="U31" s="28">
        <v>116103.2</v>
      </c>
      <c r="Y31" s="9"/>
    </row>
    <row r="32" spans="1:25" ht="12.75">
      <c r="A32" s="13" t="s">
        <v>41</v>
      </c>
      <c r="B32" s="20">
        <f t="shared" si="2"/>
        <v>-0.24843757441042208</v>
      </c>
      <c r="C32" s="176">
        <f>E32-'[1]US'!C32</f>
        <v>24303.68</v>
      </c>
      <c r="D32" s="9">
        <f>F32-'[1]US'!D32</f>
        <v>-10230.36</v>
      </c>
      <c r="E32" s="221">
        <v>24303.68</v>
      </c>
      <c r="F32" s="9">
        <v>32337.54</v>
      </c>
      <c r="G32" s="9">
        <v>30364.66</v>
      </c>
      <c r="H32" s="224">
        <v>27391</v>
      </c>
      <c r="I32" s="9">
        <v>47750</v>
      </c>
      <c r="J32" s="9">
        <v>29987</v>
      </c>
      <c r="K32" s="9">
        <v>43107</v>
      </c>
      <c r="L32" s="9">
        <v>41503.18</v>
      </c>
      <c r="M32" s="9">
        <v>37068.52</v>
      </c>
      <c r="N32" s="9">
        <v>48468</v>
      </c>
      <c r="O32" s="9">
        <v>33828.58</v>
      </c>
      <c r="P32" s="9">
        <v>52034.48</v>
      </c>
      <c r="Q32" s="9">
        <v>32013.16</v>
      </c>
      <c r="R32" s="9">
        <v>42454.72</v>
      </c>
      <c r="S32" s="9">
        <v>45001.4</v>
      </c>
      <c r="T32" s="9">
        <v>32008.96</v>
      </c>
      <c r="U32" s="28">
        <v>44668.4</v>
      </c>
      <c r="Y32" s="9"/>
    </row>
    <row r="33" spans="1:28" ht="12.75">
      <c r="A33" s="13" t="s">
        <v>42</v>
      </c>
      <c r="B33" s="20">
        <f t="shared" si="2"/>
        <v>-0.06252118336319183</v>
      </c>
      <c r="C33" s="176">
        <f>E33-'[1]US'!C33</f>
        <v>13940.46</v>
      </c>
      <c r="D33" s="9">
        <f>F33-'[1]US'!D33</f>
        <v>-3233</v>
      </c>
      <c r="E33" s="221">
        <v>13940.46</v>
      </c>
      <c r="F33" s="9">
        <v>14870.16</v>
      </c>
      <c r="G33" s="9">
        <v>12033.64</v>
      </c>
      <c r="H33" s="224">
        <v>16785</v>
      </c>
      <c r="I33" s="9">
        <v>15175</v>
      </c>
      <c r="J33" s="9">
        <v>14231</v>
      </c>
      <c r="K33" s="9">
        <v>13942</v>
      </c>
      <c r="L33" s="9">
        <v>11821.1</v>
      </c>
      <c r="M33" s="9">
        <v>16305.92</v>
      </c>
      <c r="N33" s="9">
        <v>15209.74</v>
      </c>
      <c r="O33" s="9">
        <v>14202.84</v>
      </c>
      <c r="P33" s="9">
        <v>13572.54</v>
      </c>
      <c r="Q33" s="9">
        <v>13855.82</v>
      </c>
      <c r="R33" s="9">
        <v>15108.4</v>
      </c>
      <c r="S33" s="9">
        <v>13169.38</v>
      </c>
      <c r="T33" s="9">
        <v>14292.4</v>
      </c>
      <c r="U33" s="28">
        <v>11508.74</v>
      </c>
      <c r="X33" s="9"/>
      <c r="Y33" s="9"/>
      <c r="Z33" s="9"/>
      <c r="AA33" s="9"/>
      <c r="AB33" s="9"/>
    </row>
    <row r="34" spans="1:28" ht="12.75">
      <c r="A34" s="13" t="s">
        <v>43</v>
      </c>
      <c r="B34" s="20">
        <f t="shared" si="2"/>
        <v>-0.35924291920654705</v>
      </c>
      <c r="C34" s="176">
        <f>E34-'[1]US'!C34</f>
        <v>380.52</v>
      </c>
      <c r="D34" s="9">
        <f>F34-'[1]US'!D34</f>
        <v>-904.4799999999999</v>
      </c>
      <c r="E34" s="221">
        <v>380.52</v>
      </c>
      <c r="F34" s="9">
        <v>593.86</v>
      </c>
      <c r="G34" s="9">
        <v>706.74</v>
      </c>
      <c r="H34" s="224">
        <v>1675</v>
      </c>
      <c r="I34" s="9">
        <v>2229</v>
      </c>
      <c r="J34" s="9">
        <v>1529</v>
      </c>
      <c r="K34" s="9">
        <v>2399</v>
      </c>
      <c r="L34" s="9">
        <v>1336.08</v>
      </c>
      <c r="M34" s="9">
        <v>2022.64</v>
      </c>
      <c r="N34" s="9">
        <v>3207.88</v>
      </c>
      <c r="O34" s="9">
        <v>1826.48</v>
      </c>
      <c r="P34" s="9">
        <v>3030.02</v>
      </c>
      <c r="Q34" s="9">
        <v>2188.76</v>
      </c>
      <c r="R34" s="9">
        <v>3228.52</v>
      </c>
      <c r="S34" s="9">
        <v>3194.42</v>
      </c>
      <c r="T34" s="9">
        <v>2467.7</v>
      </c>
      <c r="U34" s="28">
        <v>2567.6</v>
      </c>
      <c r="X34" s="9"/>
      <c r="Y34" s="9"/>
      <c r="Z34" s="9"/>
      <c r="AA34" s="9"/>
      <c r="AB34" s="9"/>
    </row>
    <row r="35" spans="1:28" ht="12.75">
      <c r="A35" s="141" t="s">
        <v>152</v>
      </c>
      <c r="B35" s="20">
        <f t="shared" si="2"/>
        <v>0.32052196961973695</v>
      </c>
      <c r="C35" s="176">
        <f>E35-'[1]US'!C35</f>
        <v>259.06</v>
      </c>
      <c r="D35" s="9">
        <f>F35-'[1]US'!D35</f>
        <v>-378.73999999999995</v>
      </c>
      <c r="E35" s="221">
        <v>259.06</v>
      </c>
      <c r="F35" s="9">
        <v>196.18</v>
      </c>
      <c r="G35" s="9">
        <v>130.9</v>
      </c>
      <c r="H35" s="224">
        <v>170</v>
      </c>
      <c r="I35" s="9">
        <v>480</v>
      </c>
      <c r="J35" s="9">
        <v>321</v>
      </c>
      <c r="K35" s="9">
        <v>136</v>
      </c>
      <c r="L35" s="9">
        <v>157.4</v>
      </c>
      <c r="M35" s="9">
        <v>303.92</v>
      </c>
      <c r="N35" s="9">
        <v>429.74</v>
      </c>
      <c r="O35" s="9">
        <v>319.02</v>
      </c>
      <c r="P35" s="9">
        <v>1293.18</v>
      </c>
      <c r="Q35" s="9">
        <v>740.96</v>
      </c>
      <c r="R35" s="9"/>
      <c r="S35" s="9"/>
      <c r="T35" s="9"/>
      <c r="U35" s="28"/>
      <c r="X35" s="9"/>
      <c r="Y35" s="9"/>
      <c r="Z35" s="9"/>
      <c r="AA35" s="9"/>
      <c r="AB35" s="9"/>
    </row>
    <row r="36" spans="1:28" ht="12.75">
      <c r="A36" s="13" t="s">
        <v>44</v>
      </c>
      <c r="B36" s="20">
        <f t="shared" si="2"/>
        <v>-0.27390243902439027</v>
      </c>
      <c r="C36" s="176">
        <f>E36-'[1]US'!C36</f>
        <v>59.54</v>
      </c>
      <c r="D36" s="9">
        <f>F36-'[1]US'!D36</f>
        <v>-143.28</v>
      </c>
      <c r="E36" s="221">
        <v>59.54</v>
      </c>
      <c r="F36" s="9">
        <v>82</v>
      </c>
      <c r="G36" s="9">
        <v>247.56</v>
      </c>
      <c r="H36" s="9">
        <v>233</v>
      </c>
      <c r="I36" s="9">
        <v>343</v>
      </c>
      <c r="J36" s="9">
        <v>277</v>
      </c>
      <c r="K36" s="9">
        <v>443</v>
      </c>
      <c r="L36" s="9">
        <v>163.38</v>
      </c>
      <c r="M36" s="9">
        <v>239.52</v>
      </c>
      <c r="N36" s="9">
        <v>507.46</v>
      </c>
      <c r="O36" s="9">
        <v>470.78</v>
      </c>
      <c r="P36" s="9">
        <v>726.22</v>
      </c>
      <c r="Q36" s="9">
        <v>361.34</v>
      </c>
      <c r="R36" s="9">
        <v>494.52</v>
      </c>
      <c r="S36" s="9">
        <v>658.92</v>
      </c>
      <c r="T36" s="9">
        <v>406.42</v>
      </c>
      <c r="U36" s="28">
        <v>498.7</v>
      </c>
      <c r="X36" s="9"/>
      <c r="Y36" s="9"/>
      <c r="Z36" s="9"/>
      <c r="AA36" s="9"/>
      <c r="AB36" s="9"/>
    </row>
    <row r="37" spans="1:28" ht="12.75">
      <c r="A37" s="13" t="s">
        <v>164</v>
      </c>
      <c r="B37" s="20">
        <f t="shared" si="2"/>
        <v>-0.48233466489125615</v>
      </c>
      <c r="C37" s="176">
        <f>E37-'[1]US'!C37</f>
        <v>233.26</v>
      </c>
      <c r="D37" s="9">
        <f>F37-'[1]US'!D37</f>
        <v>-203.95999999999992</v>
      </c>
      <c r="E37" s="221">
        <v>233.26</v>
      </c>
      <c r="F37" s="9">
        <v>450.6</v>
      </c>
      <c r="G37" s="9">
        <v>291.72</v>
      </c>
      <c r="H37" s="9">
        <v>534</v>
      </c>
      <c r="I37" s="9">
        <v>644</v>
      </c>
      <c r="J37" s="9">
        <v>160</v>
      </c>
      <c r="K37" s="9">
        <v>598</v>
      </c>
      <c r="L37" s="9">
        <v>104.7</v>
      </c>
      <c r="M37" s="9"/>
      <c r="N37" s="9"/>
      <c r="O37" s="9"/>
      <c r="P37" s="9"/>
      <c r="Q37" s="9"/>
      <c r="R37" s="9"/>
      <c r="S37" s="9"/>
      <c r="T37" s="9"/>
      <c r="U37" s="28"/>
      <c r="X37" s="9"/>
      <c r="Y37" s="9"/>
      <c r="Z37" s="9"/>
      <c r="AA37" s="9"/>
      <c r="AB37" s="9"/>
    </row>
    <row r="38" spans="1:28" ht="12.75">
      <c r="A38" s="13" t="s">
        <v>45</v>
      </c>
      <c r="B38" s="20"/>
      <c r="C38" s="176">
        <f>E38-'[1]US'!C38</f>
        <v>0</v>
      </c>
      <c r="D38" s="9">
        <f>F38-'[1]US'!D38</f>
        <v>0</v>
      </c>
      <c r="E38" s="221"/>
      <c r="F38" s="9"/>
      <c r="G38" s="9"/>
      <c r="H38" s="9"/>
      <c r="I38" s="9"/>
      <c r="J38" s="9"/>
      <c r="K38" s="9"/>
      <c r="L38" s="9"/>
      <c r="M38" s="9"/>
      <c r="N38" s="9">
        <v>82.06</v>
      </c>
      <c r="O38" s="9">
        <v>233.14</v>
      </c>
      <c r="P38" s="9">
        <v>146.52</v>
      </c>
      <c r="Q38" s="9">
        <v>110.26</v>
      </c>
      <c r="R38" s="9">
        <v>237.22</v>
      </c>
      <c r="S38" s="9">
        <v>409.2</v>
      </c>
      <c r="T38" s="9">
        <v>295.72</v>
      </c>
      <c r="U38" s="28">
        <v>315.38</v>
      </c>
      <c r="X38" s="9"/>
      <c r="Y38" s="9"/>
      <c r="Z38" s="9"/>
      <c r="AA38" s="9"/>
      <c r="AB38" s="9"/>
    </row>
    <row r="39" spans="1:28" ht="12.75">
      <c r="A39" s="13" t="s">
        <v>47</v>
      </c>
      <c r="B39" s="20">
        <f t="shared" si="2"/>
        <v>9.171940298507462</v>
      </c>
      <c r="C39" s="176">
        <f>E39-'[1]US'!C39</f>
        <v>340.76</v>
      </c>
      <c r="D39" s="9">
        <f>F39-'[1]US'!D39</f>
        <v>-440.4</v>
      </c>
      <c r="E39" s="221">
        <v>340.76</v>
      </c>
      <c r="F39" s="9">
        <v>33.5</v>
      </c>
      <c r="G39" s="9">
        <v>176.04</v>
      </c>
      <c r="H39" s="9">
        <v>168</v>
      </c>
      <c r="I39" s="9">
        <v>304</v>
      </c>
      <c r="J39" s="9">
        <v>246</v>
      </c>
      <c r="K39" s="9">
        <v>270</v>
      </c>
      <c r="L39" s="9">
        <v>338.72</v>
      </c>
      <c r="M39" s="9">
        <v>1008.9</v>
      </c>
      <c r="N39" s="9">
        <v>568.76</v>
      </c>
      <c r="O39" s="9">
        <v>1233.92</v>
      </c>
      <c r="P39" s="9">
        <v>532.2</v>
      </c>
      <c r="Q39" s="9">
        <v>856.74</v>
      </c>
      <c r="R39" s="9">
        <v>1527.52</v>
      </c>
      <c r="S39" s="9">
        <v>2082.04</v>
      </c>
      <c r="T39" s="9">
        <v>2051.1</v>
      </c>
      <c r="U39" s="28">
        <v>1989.76</v>
      </c>
      <c r="X39" s="9"/>
      <c r="Y39" s="9"/>
      <c r="Z39" s="9"/>
      <c r="AA39" s="9"/>
      <c r="AB39" s="9"/>
    </row>
    <row r="40" spans="1:28" ht="13.5" thickBot="1">
      <c r="A40" s="23" t="s">
        <v>46</v>
      </c>
      <c r="B40" s="21">
        <f t="shared" si="2"/>
        <v>0.07608644269335235</v>
      </c>
      <c r="C40" s="178">
        <f>E40-'[1]US'!C40</f>
        <v>35511.24</v>
      </c>
      <c r="D40" s="10">
        <f>F40-'[1]US'!D40</f>
        <v>-27781.36</v>
      </c>
      <c r="E40" s="222">
        <v>35511.24</v>
      </c>
      <c r="F40" s="10">
        <v>33000.36</v>
      </c>
      <c r="G40" s="10">
        <v>28209.22</v>
      </c>
      <c r="H40" s="10">
        <v>25291</v>
      </c>
      <c r="I40" s="10">
        <v>34531</v>
      </c>
      <c r="J40" s="10">
        <v>20128</v>
      </c>
      <c r="K40" s="9">
        <v>28844</v>
      </c>
      <c r="L40" s="10">
        <v>16906.42</v>
      </c>
      <c r="M40" s="10">
        <v>22945.34</v>
      </c>
      <c r="N40" s="10">
        <v>29529.28</v>
      </c>
      <c r="O40" s="10">
        <v>22273.42</v>
      </c>
      <c r="P40" s="10">
        <v>21053.08</v>
      </c>
      <c r="Q40" s="10">
        <v>20500.42</v>
      </c>
      <c r="R40" s="10">
        <v>24953.9</v>
      </c>
      <c r="S40" s="10">
        <v>19397.32</v>
      </c>
      <c r="T40" s="10">
        <v>20696</v>
      </c>
      <c r="U40" s="29">
        <v>15160</v>
      </c>
      <c r="X40" s="9"/>
      <c r="Y40" s="9"/>
      <c r="Z40" s="9"/>
      <c r="AA40" s="9"/>
      <c r="AB40" s="9"/>
    </row>
    <row r="41" spans="1:28" ht="13.5" thickBot="1">
      <c r="A41" s="24" t="s">
        <v>22</v>
      </c>
      <c r="B41" s="25">
        <f t="shared" si="2"/>
        <v>-0.0046053872961473</v>
      </c>
      <c r="C41" s="179">
        <f>E41-'[1]US'!C41</f>
        <v>206791.24</v>
      </c>
      <c r="D41" s="26">
        <f>F41-'[1]US'!D41</f>
        <v>-68084.71999999997</v>
      </c>
      <c r="E41" s="223">
        <f>SUM(E31:E40)</f>
        <v>206791.24</v>
      </c>
      <c r="F41" s="26">
        <f>SUM(F31:F40)</f>
        <v>207748</v>
      </c>
      <c r="G41" s="26">
        <f>SUM(G31:G40)</f>
        <v>184371.62</v>
      </c>
      <c r="H41" s="26">
        <f>SUM(H31:H40)</f>
        <v>206398</v>
      </c>
      <c r="I41" s="26">
        <f>SUM(I31:I40)</f>
        <v>244630</v>
      </c>
      <c r="J41" s="26">
        <v>192180</v>
      </c>
      <c r="K41" s="150">
        <f>SUM(K31:K40)</f>
        <v>203144</v>
      </c>
      <c r="L41" s="26">
        <f>SUM(L31:L40)</f>
        <v>200297.26</v>
      </c>
      <c r="M41" s="26">
        <f>SUM(M31:M40)</f>
        <v>235100.34</v>
      </c>
      <c r="N41" s="26">
        <f aca="true" t="shared" si="3" ref="N41:U41">SUM(N31:N40)</f>
        <v>262912.33999999997</v>
      </c>
      <c r="O41" s="26">
        <f t="shared" si="3"/>
        <v>212643.88000000006</v>
      </c>
      <c r="P41" s="26">
        <f t="shared" si="3"/>
        <v>252585.8</v>
      </c>
      <c r="Q41" s="26">
        <f t="shared" si="3"/>
        <v>221403.78000000003</v>
      </c>
      <c r="R41" s="26">
        <f t="shared" si="3"/>
        <v>256589.47999999995</v>
      </c>
      <c r="S41" s="26">
        <f t="shared" si="3"/>
        <v>215421.62000000005</v>
      </c>
      <c r="T41" s="26">
        <f t="shared" si="3"/>
        <v>220282.62000000002</v>
      </c>
      <c r="U41" s="30">
        <f t="shared" si="3"/>
        <v>192811.78000000003</v>
      </c>
      <c r="X41" s="9"/>
      <c r="Y41" s="9"/>
      <c r="Z41" s="9"/>
      <c r="AA41" s="9"/>
      <c r="AB41" s="9"/>
    </row>
    <row r="42" spans="1:28" ht="12.75">
      <c r="A42" s="167" t="s">
        <v>165</v>
      </c>
      <c r="X42" s="9"/>
      <c r="Y42" s="9"/>
      <c r="Z42" s="9"/>
      <c r="AA42" s="9"/>
      <c r="AB42" s="9"/>
    </row>
    <row r="43" spans="24:28" ht="12.75">
      <c r="X43" s="9"/>
      <c r="Y43" s="9"/>
      <c r="Z43" s="9"/>
      <c r="AA43" s="9"/>
      <c r="AB43" s="9"/>
    </row>
    <row r="48" spans="20:22" ht="18">
      <c r="T48" s="4"/>
      <c r="U48" s="1"/>
      <c r="V48" s="1"/>
    </row>
    <row r="49" spans="4:22" ht="18">
      <c r="D49" s="236">
        <v>144414701</v>
      </c>
      <c r="E49" s="237">
        <f>D49*42*0.453592</f>
        <v>2751224828.351664</v>
      </c>
      <c r="T49" s="4"/>
      <c r="U49" s="1"/>
      <c r="V49" s="1"/>
    </row>
    <row r="50" spans="4:22" ht="18">
      <c r="D50" s="1">
        <v>100179411</v>
      </c>
      <c r="E50" s="237">
        <f>D50*42*0.45359237</f>
        <v>1908505891.3491511</v>
      </c>
      <c r="T50" s="4"/>
      <c r="U50" s="1"/>
      <c r="V50" s="1"/>
    </row>
    <row r="51" spans="4:22" ht="18">
      <c r="D51" s="236">
        <v>1464908</v>
      </c>
      <c r="E51" s="237">
        <f>D51*42*0.453592</f>
        <v>27907763.080512</v>
      </c>
      <c r="T51" s="4"/>
      <c r="U51" s="1"/>
      <c r="V51" s="1"/>
    </row>
    <row r="52" spans="20:22" ht="18">
      <c r="T52" s="4"/>
      <c r="U52" s="1"/>
      <c r="V52" s="1"/>
    </row>
    <row r="53" spans="20:22" ht="18">
      <c r="T53" s="4"/>
      <c r="U53" s="1"/>
      <c r="V53" s="1"/>
    </row>
    <row r="54" spans="20:22" ht="18">
      <c r="T54" s="4"/>
      <c r="U54" s="1"/>
      <c r="V54" s="1"/>
    </row>
    <row r="55" spans="20:22" ht="18">
      <c r="T55" s="4"/>
      <c r="U55" s="1"/>
      <c r="V55" s="1"/>
    </row>
    <row r="56" spans="20:22" ht="18">
      <c r="T56" s="4"/>
      <c r="U56" s="1"/>
      <c r="V56" s="1"/>
    </row>
    <row r="57" spans="20:22" ht="18">
      <c r="T57" s="4"/>
      <c r="U57" s="1"/>
      <c r="V57" s="1"/>
    </row>
    <row r="58" spans="20:22" ht="18">
      <c r="T58" s="5"/>
      <c r="U58" s="1"/>
      <c r="V58" s="1"/>
    </row>
    <row r="59" spans="20:22" ht="18">
      <c r="T59" s="6"/>
      <c r="U59" s="2"/>
      <c r="V59" s="2"/>
    </row>
  </sheetData>
  <sheetProtection/>
  <printOptions/>
  <pageMargins left="0.75" right="0.75" top="1" bottom="1" header="0.5" footer="0.5"/>
  <pageSetup horizontalDpi="600" verticalDpi="600" orientation="landscape" paperSize="9"/>
  <ignoredErrors>
    <ignoredError sqref="F41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82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1.7109375" style="33" customWidth="1"/>
    <col min="2" max="2" width="10.7109375" style="59" customWidth="1"/>
    <col min="3" max="4" width="11.421875" style="59" bestFit="1" customWidth="1"/>
    <col min="5" max="5" width="11.421875" style="59" customWidth="1"/>
    <col min="6" max="10" width="11.421875" style="65" customWidth="1"/>
    <col min="11" max="11" width="10.7109375" style="59" customWidth="1"/>
    <col min="12" max="19" width="10.140625" style="59" bestFit="1" customWidth="1"/>
    <col min="20" max="21" width="10.140625" style="33" bestFit="1" customWidth="1"/>
    <col min="22" max="22" width="9.140625" style="33" customWidth="1"/>
    <col min="23" max="23" width="21.7109375" style="33" customWidth="1"/>
    <col min="24" max="24" width="11.421875" style="33" customWidth="1"/>
    <col min="25" max="16384" width="9.140625" style="33" customWidth="1"/>
  </cols>
  <sheetData>
    <row r="1" spans="1:26" s="59" customFormat="1" ht="13.5" thickBot="1">
      <c r="A1" s="34" t="s">
        <v>23</v>
      </c>
      <c r="B1" s="17" t="s">
        <v>182</v>
      </c>
      <c r="C1" s="174" t="s">
        <v>183</v>
      </c>
      <c r="D1" s="55" t="s">
        <v>177</v>
      </c>
      <c r="E1" s="31">
        <v>44896</v>
      </c>
      <c r="F1" s="18">
        <v>44531</v>
      </c>
      <c r="G1" s="18">
        <v>44166</v>
      </c>
      <c r="H1" s="18">
        <v>43800</v>
      </c>
      <c r="I1" s="18">
        <v>43435</v>
      </c>
      <c r="J1" s="18">
        <v>43070</v>
      </c>
      <c r="K1" s="18">
        <v>42705</v>
      </c>
      <c r="L1" s="56">
        <v>42339</v>
      </c>
      <c r="M1" s="56">
        <v>41974</v>
      </c>
      <c r="N1" s="56">
        <v>41609</v>
      </c>
      <c r="O1" s="56">
        <v>41244</v>
      </c>
      <c r="P1" s="56">
        <v>40878</v>
      </c>
      <c r="Q1" s="56">
        <v>40513</v>
      </c>
      <c r="R1" s="56">
        <v>40148</v>
      </c>
      <c r="S1" s="56">
        <v>39783</v>
      </c>
      <c r="T1" s="57">
        <v>39417</v>
      </c>
      <c r="U1" s="58">
        <v>39052</v>
      </c>
      <c r="W1" s="60"/>
      <c r="X1" s="60"/>
      <c r="Y1" s="61"/>
      <c r="Z1" s="61"/>
    </row>
    <row r="2" spans="1:26" ht="12.75">
      <c r="A2" s="62" t="s">
        <v>7</v>
      </c>
      <c r="B2" s="68">
        <f aca="true" t="shared" si="0" ref="B2:B9">(E2-F2)/F2</f>
        <v>0.24301755090085828</v>
      </c>
      <c r="C2" s="198">
        <f>E2-'[1]EU - country'!C2</f>
        <v>-9091.61361330375</v>
      </c>
      <c r="D2" s="164">
        <f>F2-'[1]EU - country'!D2</f>
        <v>-4776.419069975396</v>
      </c>
      <c r="E2" s="180">
        <f>Austria!E$21</f>
        <v>121577.22832722834</v>
      </c>
      <c r="F2" s="164">
        <f>Austria!F$21</f>
        <v>97808.13492063493</v>
      </c>
      <c r="G2" s="164">
        <f>Austria!G$21</f>
        <v>93104.69999999998</v>
      </c>
      <c r="H2" s="164">
        <f>Austria!H$21</f>
        <v>97417</v>
      </c>
      <c r="I2" s="164">
        <v>115430</v>
      </c>
      <c r="J2" s="164">
        <v>63153</v>
      </c>
      <c r="K2" s="63">
        <f>Austria!K$21</f>
        <v>31152.880000000005</v>
      </c>
      <c r="L2" s="63">
        <f>Austria!L$21</f>
        <v>131431.32</v>
      </c>
      <c r="M2" s="63">
        <f>Austria!M$21</f>
        <v>134739.32</v>
      </c>
      <c r="N2" s="63">
        <f>Austria!N$21</f>
        <v>122136</v>
      </c>
      <c r="O2" s="63">
        <f>Austria!O$21</f>
        <v>116061</v>
      </c>
      <c r="P2" s="63">
        <f>Austria!P$21</f>
        <v>0</v>
      </c>
      <c r="Q2" s="63">
        <f>Austria!Q$21</f>
        <v>144302</v>
      </c>
      <c r="R2" s="63">
        <f>Austria!R$21</f>
        <v>144830</v>
      </c>
      <c r="S2" s="63">
        <v>128461</v>
      </c>
      <c r="T2" s="63">
        <v>131666</v>
      </c>
      <c r="U2" s="64">
        <v>115283</v>
      </c>
      <c r="W2" s="65"/>
      <c r="X2" s="66"/>
      <c r="Y2" s="43"/>
      <c r="Z2" s="43"/>
    </row>
    <row r="3" spans="1:26" ht="12.75">
      <c r="A3" s="67" t="s">
        <v>140</v>
      </c>
      <c r="B3" s="68">
        <f t="shared" si="0"/>
        <v>-0.28821374313418474</v>
      </c>
      <c r="C3" s="198">
        <f>E3-'[1]EU - country'!C3</f>
        <v>-23412.89251931908</v>
      </c>
      <c r="D3" s="164">
        <f>F3-'[1]EU - country'!D3</f>
        <v>-24613.727578500955</v>
      </c>
      <c r="E3" s="180">
        <f>Belgium!E$10</f>
        <v>119718.8894735458</v>
      </c>
      <c r="F3" s="164">
        <f>Belgium!F$10</f>
        <v>168195</v>
      </c>
      <c r="G3" s="164">
        <f>Belgium!G$10</f>
        <v>91733</v>
      </c>
      <c r="H3" s="164">
        <f>Belgium!H$10</f>
        <v>171317</v>
      </c>
      <c r="I3" s="164">
        <v>187712</v>
      </c>
      <c r="J3" s="164">
        <v>33761</v>
      </c>
      <c r="K3" s="43">
        <f>Belgium!K$10</f>
        <v>135162</v>
      </c>
      <c r="L3" s="43">
        <f>Belgium!L$10</f>
        <v>199542</v>
      </c>
      <c r="M3" s="43">
        <f>Belgium!M$10</f>
        <v>207617</v>
      </c>
      <c r="N3" s="43">
        <f>Belgium!N$10</f>
        <v>149510</v>
      </c>
      <c r="O3" s="43">
        <f>Belgium!O$10</f>
        <v>131265</v>
      </c>
      <c r="P3" s="43">
        <f>Belgium!P$10</f>
        <v>138040</v>
      </c>
      <c r="Q3" s="43">
        <f>Belgium!Q$10</f>
        <v>122500</v>
      </c>
      <c r="R3" s="43">
        <f>Belgium!R$10</f>
        <v>170000</v>
      </c>
      <c r="S3" s="43">
        <v>207300</v>
      </c>
      <c r="T3" s="43">
        <v>182600</v>
      </c>
      <c r="U3" s="70">
        <v>192800</v>
      </c>
      <c r="W3" s="65"/>
      <c r="X3" s="65"/>
      <c r="Y3" s="43"/>
      <c r="Z3" s="43"/>
    </row>
    <row r="4" spans="1:26" ht="12.75">
      <c r="A4" s="67" t="s">
        <v>30</v>
      </c>
      <c r="B4" s="68">
        <f t="shared" si="0"/>
        <v>0.2261316989198494</v>
      </c>
      <c r="C4" s="198">
        <f>E4-'[1]EU - country'!C4</f>
        <v>1302</v>
      </c>
      <c r="D4" s="164">
        <f>F4-'[1]EU - country'!D4</f>
        <v>629</v>
      </c>
      <c r="E4" s="180">
        <f>'Czech Republic'!E$12</f>
        <v>64817</v>
      </c>
      <c r="F4" s="164">
        <f>'Czech Republic'!F$12</f>
        <v>52863</v>
      </c>
      <c r="G4" s="164">
        <f>'Czech Republic'!G$12</f>
        <v>54977</v>
      </c>
      <c r="H4" s="164">
        <f>'Czech Republic'!H$12</f>
        <v>40703</v>
      </c>
      <c r="I4" s="164">
        <v>66199</v>
      </c>
      <c r="J4" s="164">
        <v>41155</v>
      </c>
      <c r="K4" s="43">
        <f>'Czech Republic'!K$12</f>
        <v>42616</v>
      </c>
      <c r="L4" s="43">
        <f>'Czech Republic'!L$12</f>
        <v>55781</v>
      </c>
      <c r="M4" s="43">
        <f>'Czech Republic'!M$12</f>
        <v>49757</v>
      </c>
      <c r="N4" s="43">
        <f>'Czech Republic'!N$12</f>
        <v>39379</v>
      </c>
      <c r="O4" s="43">
        <f>'Czech Republic'!O$12</f>
        <v>38566</v>
      </c>
      <c r="P4" s="43">
        <f>'Czech Republic'!P$12</f>
        <v>26224</v>
      </c>
      <c r="Q4" s="43">
        <f>'Czech Republic'!Q$12</f>
        <v>29695</v>
      </c>
      <c r="R4" s="43">
        <f>'Czech Republic'!R$12</f>
        <v>42697</v>
      </c>
      <c r="S4" s="43">
        <v>48667</v>
      </c>
      <c r="T4" s="43">
        <v>31931</v>
      </c>
      <c r="U4" s="70">
        <v>39169</v>
      </c>
      <c r="W4" s="65"/>
      <c r="X4" s="66"/>
      <c r="Y4" s="43"/>
      <c r="Z4" s="43"/>
    </row>
    <row r="5" spans="1:26" ht="12.75">
      <c r="A5" s="67" t="s">
        <v>39</v>
      </c>
      <c r="B5" s="68">
        <f t="shared" si="0"/>
        <v>-0.0571685393258427</v>
      </c>
      <c r="C5" s="198">
        <f>E5-'[1]EU - country'!C5</f>
        <v>-3128</v>
      </c>
      <c r="D5" s="164">
        <f>F5-'[1]EU - country'!D5</f>
        <v>-2042</v>
      </c>
      <c r="E5" s="180">
        <f>Denmark!E$20</f>
        <v>10489</v>
      </c>
      <c r="F5" s="164">
        <f>Denmark!F$20</f>
        <v>11125</v>
      </c>
      <c r="G5" s="164">
        <f>Denmark!G$20</f>
        <v>6675</v>
      </c>
      <c r="H5" s="164">
        <f>Denmark!H$20</f>
        <v>9166</v>
      </c>
      <c r="I5" s="164">
        <v>14796</v>
      </c>
      <c r="J5" s="164">
        <v>7880</v>
      </c>
      <c r="K5" s="43">
        <f>Denmark!K$20</f>
        <v>13556</v>
      </c>
      <c r="L5" s="43">
        <f>Denmark!L$20</f>
        <v>12287</v>
      </c>
      <c r="M5" s="43">
        <f>Denmark!M$20</f>
        <v>11281</v>
      </c>
      <c r="N5" s="43">
        <f>Denmark!N$20</f>
        <v>11105</v>
      </c>
      <c r="O5" s="43">
        <f>Denmark!O$20</f>
        <v>7794</v>
      </c>
      <c r="P5" s="43">
        <f>Denmark!P$20</f>
        <v>9979</v>
      </c>
      <c r="Q5" s="43">
        <f>Denmark!Q$20</f>
        <v>8558</v>
      </c>
      <c r="R5" s="43">
        <f>Denmark!R$20</f>
        <v>10437</v>
      </c>
      <c r="S5" s="43">
        <v>13336</v>
      </c>
      <c r="T5" s="43">
        <v>9863</v>
      </c>
      <c r="U5" s="70">
        <v>8258</v>
      </c>
      <c r="W5" s="65"/>
      <c r="X5" s="43"/>
      <c r="Y5" s="43"/>
      <c r="Z5" s="43"/>
    </row>
    <row r="6" spans="1:26" ht="12.75">
      <c r="A6" s="37" t="s">
        <v>20</v>
      </c>
      <c r="B6" s="68">
        <f t="shared" si="0"/>
        <v>-0.07984891886897061</v>
      </c>
      <c r="C6" s="198">
        <f>E6-'[1]EU - country'!C6</f>
        <v>-105768</v>
      </c>
      <c r="D6" s="164">
        <f>F6-'[1]EU - country'!D6</f>
        <v>-37445</v>
      </c>
      <c r="E6" s="180">
        <f>France!E$26</f>
        <v>637304</v>
      </c>
      <c r="F6" s="164">
        <f>France!F$26</f>
        <v>692608</v>
      </c>
      <c r="G6" s="164">
        <f>France!G$26</f>
        <v>650624</v>
      </c>
      <c r="H6" s="164">
        <f>France!H$26</f>
        <v>783522</v>
      </c>
      <c r="I6" s="164">
        <v>670544</v>
      </c>
      <c r="J6" s="164">
        <v>634624</v>
      </c>
      <c r="K6" s="43">
        <f>France!K$26</f>
        <v>618910</v>
      </c>
      <c r="L6" s="71">
        <f>France!L$26</f>
        <v>659900</v>
      </c>
      <c r="M6" s="71">
        <f>France!M$26</f>
        <v>588688</v>
      </c>
      <c r="N6" s="71">
        <f>France!N$26</f>
        <v>683677</v>
      </c>
      <c r="O6" s="71">
        <f>France!O$26</f>
        <v>416465</v>
      </c>
      <c r="P6" s="71">
        <f>France!P$26</f>
        <v>648826</v>
      </c>
      <c r="Q6" s="71">
        <f>France!Q$26</f>
        <v>639091</v>
      </c>
      <c r="R6" s="71">
        <f>France!R$26</f>
        <v>659972</v>
      </c>
      <c r="S6" s="71">
        <v>508982</v>
      </c>
      <c r="T6" s="43"/>
      <c r="U6" s="70"/>
      <c r="W6" s="66"/>
      <c r="X6" s="66"/>
      <c r="Y6" s="43"/>
      <c r="Z6" s="43"/>
    </row>
    <row r="7" spans="1:26" ht="12.75">
      <c r="A7" s="67" t="s">
        <v>27</v>
      </c>
      <c r="B7" s="68">
        <f t="shared" si="0"/>
        <v>0.10207625261168327</v>
      </c>
      <c r="C7" s="198">
        <f>E7-'[1]EU - country'!C7</f>
        <v>-26630</v>
      </c>
      <c r="D7" s="164">
        <f>F7-'[1]EU - country'!D7</f>
        <v>-33709</v>
      </c>
      <c r="E7" s="180">
        <f>Germany!E$21</f>
        <v>387166</v>
      </c>
      <c r="F7" s="164">
        <f>Germany!F$21</f>
        <v>351306</v>
      </c>
      <c r="G7" s="164">
        <f>Germany!G$21</f>
        <v>338942</v>
      </c>
      <c r="H7" s="164">
        <f>Germany!H$21</f>
        <v>343034</v>
      </c>
      <c r="I7" s="164">
        <v>413686</v>
      </c>
      <c r="J7" s="164">
        <v>225768</v>
      </c>
      <c r="K7" s="43">
        <f>Germany!K$21</f>
        <v>400338</v>
      </c>
      <c r="L7" s="43">
        <f>Germany!L$21</f>
        <v>385050</v>
      </c>
      <c r="M7" s="43">
        <f>Germany!M$21</f>
        <v>419117</v>
      </c>
      <c r="N7" s="43">
        <f>Germany!N$21</f>
        <v>308154</v>
      </c>
      <c r="O7" s="43">
        <f>Germany!O$21</f>
        <v>376051</v>
      </c>
      <c r="P7" s="43">
        <f>Germany!P$21</f>
        <v>390309</v>
      </c>
      <c r="Q7" s="43">
        <f>Germany!Q$21</f>
        <v>313492</v>
      </c>
      <c r="R7" s="43">
        <f>Germany!R$21</f>
        <v>417232</v>
      </c>
      <c r="S7" s="43">
        <v>361111</v>
      </c>
      <c r="T7" s="43">
        <v>344040</v>
      </c>
      <c r="U7" s="70">
        <v>326018</v>
      </c>
      <c r="W7" s="65"/>
      <c r="X7" s="66"/>
      <c r="Y7" s="43"/>
      <c r="Z7" s="43"/>
    </row>
    <row r="8" spans="1:26" ht="12.75">
      <c r="A8" s="67" t="s">
        <v>15</v>
      </c>
      <c r="B8" s="68">
        <f t="shared" si="0"/>
        <v>-0.023110888210930415</v>
      </c>
      <c r="C8" s="198">
        <f>E8-'[1]EU - country'!C8</f>
        <v>-122681.67143473774</v>
      </c>
      <c r="D8" s="164">
        <f>F8-'[1]EU - country'!D8</f>
        <v>-160420.3609385551</v>
      </c>
      <c r="E8" s="180">
        <f>Italy!E$20</f>
        <v>1326182.1164328633</v>
      </c>
      <c r="F8" s="164">
        <f>Italy!F$20</f>
        <v>1357556.4518311606</v>
      </c>
      <c r="G8" s="164">
        <f>Italy!G$20</f>
        <v>1364134.995</v>
      </c>
      <c r="H8" s="164">
        <f>Italy!H$20</f>
        <v>1349020</v>
      </c>
      <c r="I8" s="164">
        <v>1491242</v>
      </c>
      <c r="J8" s="164">
        <v>1007499</v>
      </c>
      <c r="K8" s="43">
        <f>Italy!K$20</f>
        <v>1487735.7000000002</v>
      </c>
      <c r="L8" s="43">
        <f>Italy!L$20</f>
        <v>1494682.91</v>
      </c>
      <c r="M8" s="43">
        <f>Italy!M$20</f>
        <v>1601128</v>
      </c>
      <c r="N8" s="43">
        <f>Italy!N$20</f>
        <v>1407093</v>
      </c>
      <c r="O8" s="43">
        <f>Italy!O$20</f>
        <v>1215407</v>
      </c>
      <c r="P8" s="43">
        <f>Italy!P$20</f>
        <v>1423375</v>
      </c>
      <c r="Q8" s="43">
        <f>Italy!Q$20</f>
        <v>1442097</v>
      </c>
      <c r="R8" s="43">
        <f>Italy!R$20</f>
        <v>1453791.7800000003</v>
      </c>
      <c r="S8" s="43">
        <v>1399479.525</v>
      </c>
      <c r="T8" s="43">
        <v>1298109.025</v>
      </c>
      <c r="U8" s="70">
        <v>1197785</v>
      </c>
      <c r="W8" s="65"/>
      <c r="X8" s="65"/>
      <c r="Y8" s="43"/>
      <c r="Z8" s="43"/>
    </row>
    <row r="9" spans="1:26" ht="12.75">
      <c r="A9" s="37" t="s">
        <v>31</v>
      </c>
      <c r="B9" s="68">
        <f t="shared" si="0"/>
        <v>-0.16224188790560473</v>
      </c>
      <c r="C9" s="198"/>
      <c r="D9" s="164"/>
      <c r="E9" s="180">
        <f>Poland!E$18</f>
        <v>1420000</v>
      </c>
      <c r="F9" s="164">
        <f>Poland!F$18</f>
        <v>1695000</v>
      </c>
      <c r="G9" s="164">
        <f>Poland!G$18</f>
        <v>1600000</v>
      </c>
      <c r="H9" s="164">
        <f>Poland!H$18</f>
        <v>1127000</v>
      </c>
      <c r="I9" s="164">
        <v>1705000</v>
      </c>
      <c r="J9" s="164">
        <v>1039000</v>
      </c>
      <c r="K9" s="43">
        <f>Poland!K$18</f>
        <v>1460000</v>
      </c>
      <c r="L9" s="71">
        <f>Poland!L$18</f>
        <v>1501000</v>
      </c>
      <c r="M9" s="71">
        <f>Poland!M$18</f>
        <v>1466000</v>
      </c>
      <c r="N9" s="71">
        <f>Poland!N$18</f>
        <v>1243000</v>
      </c>
      <c r="O9" s="71">
        <f>Poland!O$18</f>
        <v>1208000</v>
      </c>
      <c r="P9" s="71">
        <f>Poland!P$18</f>
        <v>1057000</v>
      </c>
      <c r="Q9" s="71">
        <f>Poland!Q$18</f>
        <v>450000</v>
      </c>
      <c r="R9" s="71">
        <f>Poland!R$18</f>
        <v>700000</v>
      </c>
      <c r="S9" s="71">
        <v>650000</v>
      </c>
      <c r="T9" s="71">
        <v>380000</v>
      </c>
      <c r="U9" s="72">
        <v>500000</v>
      </c>
      <c r="W9" s="66"/>
      <c r="X9" s="66"/>
      <c r="Y9" s="43"/>
      <c r="Z9" s="43"/>
    </row>
    <row r="10" spans="1:26" ht="12.75" hidden="1">
      <c r="A10" s="37" t="s">
        <v>148</v>
      </c>
      <c r="B10" s="68"/>
      <c r="C10" s="198">
        <f>E10-'[1]EU - country'!C10</f>
        <v>0</v>
      </c>
      <c r="D10" s="164">
        <f>F10-'[1]EU - country'!D10</f>
        <v>0</v>
      </c>
      <c r="E10" s="180"/>
      <c r="F10" s="164"/>
      <c r="G10" s="164">
        <f>Portugal!G$9</f>
        <v>0</v>
      </c>
      <c r="H10" s="164">
        <f>Portugal!H$9</f>
        <v>0</v>
      </c>
      <c r="I10" s="164">
        <v>0</v>
      </c>
      <c r="J10" s="164">
        <v>0</v>
      </c>
      <c r="K10" s="43">
        <f>Portugal!K$9</f>
        <v>0</v>
      </c>
      <c r="L10" s="71">
        <f>Portugal!L$9</f>
        <v>0</v>
      </c>
      <c r="M10" s="71">
        <f>Portugal!M$9</f>
        <v>0</v>
      </c>
      <c r="N10" s="71">
        <f>Portugal!P$9</f>
        <v>0</v>
      </c>
      <c r="O10" s="71">
        <f>Portugal!Q$9</f>
        <v>0</v>
      </c>
      <c r="P10" s="71">
        <f>Portugal!R$9</f>
        <v>0</v>
      </c>
      <c r="Q10" s="71">
        <f>Portugal!S$9</f>
        <v>0</v>
      </c>
      <c r="R10" s="71">
        <f>Portugal!T$9</f>
        <v>0</v>
      </c>
      <c r="S10" s="71">
        <v>0</v>
      </c>
      <c r="T10" s="71">
        <v>0</v>
      </c>
      <c r="U10" s="72">
        <v>0</v>
      </c>
      <c r="W10" s="66"/>
      <c r="X10" s="66"/>
      <c r="Y10" s="43"/>
      <c r="Z10" s="43"/>
    </row>
    <row r="11" spans="1:26" ht="12.75" hidden="1">
      <c r="A11" s="37" t="s">
        <v>178</v>
      </c>
      <c r="B11" s="68"/>
      <c r="C11" s="198">
        <f>E11-'[1]EU - country'!C11</f>
        <v>0</v>
      </c>
      <c r="D11" s="164">
        <f>F11-'[1]EU - country'!D11</f>
        <v>-13286.21</v>
      </c>
      <c r="E11" s="180"/>
      <c r="F11" s="164"/>
      <c r="G11" s="164"/>
      <c r="H11" s="164"/>
      <c r="I11" s="164"/>
      <c r="J11" s="164"/>
      <c r="K11" s="43"/>
      <c r="L11" s="71"/>
      <c r="M11" s="71"/>
      <c r="N11" s="71"/>
      <c r="O11" s="71"/>
      <c r="P11" s="71"/>
      <c r="Q11" s="71"/>
      <c r="R11" s="71"/>
      <c r="S11" s="71"/>
      <c r="T11" s="71"/>
      <c r="U11" s="72"/>
      <c r="W11" s="66"/>
      <c r="X11" s="66"/>
      <c r="Y11" s="43"/>
      <c r="Z11" s="43"/>
    </row>
    <row r="12" spans="1:26" ht="12.75">
      <c r="A12" s="67" t="s">
        <v>36</v>
      </c>
      <c r="B12" s="68">
        <f>(E12-F12)/F12</f>
        <v>-0.2913981822798464</v>
      </c>
      <c r="C12" s="198">
        <f>E12-'[1]EU - country'!C12</f>
        <v>-14242.558135819447</v>
      </c>
      <c r="D12" s="164">
        <f>F12-'[1]EU - country'!D12</f>
        <v>-8423.347597651533</v>
      </c>
      <c r="E12" s="180">
        <f>Spain!E$8</f>
        <v>183373.86939284808</v>
      </c>
      <c r="F12" s="164">
        <f>Spain!F$8</f>
        <v>258782.66864010144</v>
      </c>
      <c r="G12" s="164">
        <f>Spain!G$8</f>
        <v>182738.56914823313</v>
      </c>
      <c r="H12" s="164">
        <f>Spain!H$8</f>
        <v>297163.380843642</v>
      </c>
      <c r="I12" s="164">
        <v>225896</v>
      </c>
      <c r="J12" s="164">
        <v>214382</v>
      </c>
      <c r="K12" s="43">
        <f>Spain!K$8</f>
        <v>248787.76347932007</v>
      </c>
      <c r="L12" s="43">
        <f>Spain!L$8</f>
        <v>201090.27367428067</v>
      </c>
      <c r="M12" s="43">
        <f>Spain!M$8</f>
        <v>227090.25764878167</v>
      </c>
      <c r="N12" s="43">
        <f>Spain!N$8</f>
        <v>195919.4703704314</v>
      </c>
      <c r="O12" s="43">
        <f>Spain!O$8</f>
        <v>145855</v>
      </c>
      <c r="P12" s="43">
        <f>Spain!P$8</f>
        <v>212582</v>
      </c>
      <c r="Q12" s="43">
        <f>Spain!Q$8</f>
        <v>209183</v>
      </c>
      <c r="R12" s="43">
        <f>Spain!R$8</f>
        <v>168764</v>
      </c>
      <c r="S12" s="43">
        <v>217115</v>
      </c>
      <c r="T12" s="43">
        <v>198160</v>
      </c>
      <c r="U12" s="70">
        <v>171293</v>
      </c>
      <c r="W12" s="65"/>
      <c r="X12" s="66"/>
      <c r="Y12" s="43"/>
      <c r="Z12" s="43"/>
    </row>
    <row r="13" spans="1:26" ht="12.75">
      <c r="A13" s="67" t="s">
        <v>59</v>
      </c>
      <c r="B13" s="68">
        <f>(E13-F13)/F13</f>
        <v>-0.04637803656398698</v>
      </c>
      <c r="C13" s="198">
        <f>E13-'[1]EU - country'!C13</f>
        <v>-3502</v>
      </c>
      <c r="D13" s="164">
        <f>F13-'[1]EU - country'!D13</f>
        <v>1348</v>
      </c>
      <c r="E13" s="180">
        <f>Switzerland!E$19</f>
        <v>60925</v>
      </c>
      <c r="F13" s="164">
        <f>Switzerland!F$19</f>
        <v>63888</v>
      </c>
      <c r="G13" s="164">
        <f>Switzerland!G$19</f>
        <v>64111</v>
      </c>
      <c r="H13" s="164">
        <f>Switzerland!H$19</f>
        <v>61830</v>
      </c>
      <c r="I13" s="164">
        <v>68488</v>
      </c>
      <c r="J13" s="164">
        <v>41382</v>
      </c>
      <c r="K13" s="43">
        <f>Switzerland!K$19</f>
        <v>63693</v>
      </c>
      <c r="L13" s="43">
        <f>Switzerland!L$19</f>
        <v>62756</v>
      </c>
      <c r="M13" s="43">
        <f>Switzerland!M$19</f>
        <v>63323</v>
      </c>
      <c r="N13" s="43">
        <f>Switzerland!N$19</f>
        <v>64590</v>
      </c>
      <c r="O13" s="43">
        <f>Switzerland!O$19</f>
        <v>62096</v>
      </c>
      <c r="P13" s="43">
        <f>Switzerland!P$19</f>
        <v>68136</v>
      </c>
      <c r="Q13" s="43">
        <f>Switzerland!Q$19</f>
        <v>63359</v>
      </c>
      <c r="R13" s="43">
        <f>Switzerland!R$19</f>
        <v>67200</v>
      </c>
      <c r="S13" s="43">
        <v>59479</v>
      </c>
      <c r="T13" s="43">
        <v>62992</v>
      </c>
      <c r="U13" s="70">
        <v>60711</v>
      </c>
      <c r="W13" s="65"/>
      <c r="X13" s="66"/>
      <c r="Y13" s="43"/>
      <c r="Z13" s="43"/>
    </row>
    <row r="14" spans="1:26" ht="13.5" thickBot="1">
      <c r="A14" s="67" t="s">
        <v>0</v>
      </c>
      <c r="B14" s="68">
        <f>(E14-F14)/F14</f>
        <v>-0.031037265544665286</v>
      </c>
      <c r="C14" s="198">
        <f>E14-'[1]EU - country'!C14</f>
        <v>-34647</v>
      </c>
      <c r="D14" s="164">
        <f>F14-'[1]EU - country'!D14</f>
        <v>-30005</v>
      </c>
      <c r="E14" s="180">
        <f>Netherlands!E$8</f>
        <v>148885</v>
      </c>
      <c r="F14" s="164">
        <f>Netherlands!F$8</f>
        <v>153654</v>
      </c>
      <c r="G14" s="164">
        <f>Netherlands!G$8</f>
        <v>145897</v>
      </c>
      <c r="H14" s="164">
        <f>Netherlands!H$8</f>
        <v>177799</v>
      </c>
      <c r="I14" s="164">
        <v>180727.21600000001</v>
      </c>
      <c r="J14" s="164">
        <v>145665</v>
      </c>
      <c r="K14" s="43">
        <f>Netherlands!K$8</f>
        <v>211579</v>
      </c>
      <c r="L14" s="43">
        <f>Netherlands!L$8</f>
        <v>220295</v>
      </c>
      <c r="M14" s="43">
        <f>Netherlands!M$8</f>
        <v>224509</v>
      </c>
      <c r="N14" s="43">
        <f>Netherlands!N$8</f>
        <v>224916</v>
      </c>
      <c r="O14" s="43">
        <f>Netherlands!O$8</f>
        <v>196000</v>
      </c>
      <c r="P14" s="43">
        <f>Netherlands!P$8</f>
        <v>269000</v>
      </c>
      <c r="Q14" s="43">
        <f>Netherlands!Q$8</f>
        <v>202000</v>
      </c>
      <c r="R14" s="43">
        <f>Netherlands!R$8</f>
        <v>268000</v>
      </c>
      <c r="S14" s="43">
        <v>237000</v>
      </c>
      <c r="T14" s="43">
        <v>237000</v>
      </c>
      <c r="U14" s="70">
        <v>215000</v>
      </c>
      <c r="W14" s="65"/>
      <c r="X14" s="66"/>
      <c r="Y14" s="43"/>
      <c r="Z14" s="43"/>
    </row>
    <row r="15" spans="1:26" ht="13.5" hidden="1" thickBot="1">
      <c r="A15" s="73" t="s">
        <v>167</v>
      </c>
      <c r="B15" s="68"/>
      <c r="C15" s="198">
        <f>E15-'[1]EU - country'!C15</f>
        <v>0</v>
      </c>
      <c r="D15" s="164">
        <f>F15-'[1]EU - country'!D15</f>
        <v>0</v>
      </c>
      <c r="E15" s="180"/>
      <c r="F15" s="164"/>
      <c r="G15" s="164">
        <f>UK!G$12</f>
        <v>0</v>
      </c>
      <c r="H15" s="164">
        <f>UK!H$12</f>
        <v>0</v>
      </c>
      <c r="I15" s="164"/>
      <c r="J15" s="208">
        <v>94063</v>
      </c>
      <c r="K15" s="76">
        <f>UK!K$12</f>
        <v>0</v>
      </c>
      <c r="L15" s="76">
        <f>UK!L$12</f>
        <v>150400</v>
      </c>
      <c r="M15" s="76">
        <f>UK!M$12</f>
        <v>157500</v>
      </c>
      <c r="N15" s="76">
        <f>UK!N$12</f>
        <v>157200</v>
      </c>
      <c r="O15" s="76">
        <f>UK!O$12</f>
        <v>103000</v>
      </c>
      <c r="P15" s="76">
        <f>UK!P$12</f>
        <v>151500</v>
      </c>
      <c r="Q15" s="76">
        <f>UK!Q$12</f>
        <v>150000</v>
      </c>
      <c r="R15" s="76">
        <f>UK!R$12</f>
        <v>142600</v>
      </c>
      <c r="S15" s="76">
        <v>122700</v>
      </c>
      <c r="T15" s="76">
        <v>116500</v>
      </c>
      <c r="U15" s="77">
        <v>104200</v>
      </c>
      <c r="W15" s="65"/>
      <c r="X15" s="66"/>
      <c r="Y15" s="43"/>
      <c r="Z15" s="43"/>
    </row>
    <row r="16" spans="1:26" ht="13.5" thickBot="1">
      <c r="A16" s="49" t="s">
        <v>22</v>
      </c>
      <c r="B16" s="168">
        <f>(E16-F16)/F16</f>
        <v>-0.08614451655952356</v>
      </c>
      <c r="C16" s="197"/>
      <c r="D16" s="102"/>
      <c r="E16" s="51">
        <f>SUM(E2:E15)</f>
        <v>4480438.103626485</v>
      </c>
      <c r="F16" s="102">
        <f>SUM(F2:F15)</f>
        <v>4902786.255391897</v>
      </c>
      <c r="G16" s="102">
        <f>SUM(G2:G15)</f>
        <v>4592937.264148233</v>
      </c>
      <c r="H16" s="102">
        <f>SUM(H2:H15)</f>
        <v>4457971.380843642</v>
      </c>
      <c r="I16" s="102">
        <v>5139720.216</v>
      </c>
      <c r="J16" s="80">
        <v>3548332</v>
      </c>
      <c r="K16" s="80">
        <f aca="true" t="shared" si="1" ref="K16:U16">SUM(K2:K15)</f>
        <v>4713530.34347932</v>
      </c>
      <c r="L16" s="80">
        <f t="shared" si="1"/>
        <v>5074215.503674281</v>
      </c>
      <c r="M16" s="80">
        <f t="shared" si="1"/>
        <v>5150749.577648782</v>
      </c>
      <c r="N16" s="80">
        <f t="shared" si="1"/>
        <v>4606679.470370431</v>
      </c>
      <c r="O16" s="80">
        <f t="shared" si="1"/>
        <v>4016560</v>
      </c>
      <c r="P16" s="80">
        <f t="shared" si="1"/>
        <v>4394971</v>
      </c>
      <c r="Q16" s="80">
        <f t="shared" si="1"/>
        <v>3774277</v>
      </c>
      <c r="R16" s="80">
        <f t="shared" si="1"/>
        <v>4245523.78</v>
      </c>
      <c r="S16" s="80">
        <f t="shared" si="1"/>
        <v>3953630.525</v>
      </c>
      <c r="T16" s="80">
        <f t="shared" si="1"/>
        <v>2992861.025</v>
      </c>
      <c r="U16" s="81">
        <f t="shared" si="1"/>
        <v>2930517</v>
      </c>
      <c r="W16" s="60"/>
      <c r="X16" s="65"/>
      <c r="Y16" s="43"/>
      <c r="Z16" s="43"/>
    </row>
    <row r="17" spans="1:26" s="84" customFormat="1" ht="12.75">
      <c r="A17" s="65"/>
      <c r="B17" s="82"/>
      <c r="C17" s="82"/>
      <c r="D17" s="82"/>
      <c r="E17" s="82"/>
      <c r="F17" s="82"/>
      <c r="G17" s="82"/>
      <c r="H17" s="82"/>
      <c r="I17" s="82"/>
      <c r="J17" s="82"/>
      <c r="K17" s="82"/>
      <c r="L17" s="65"/>
      <c r="M17" s="65"/>
      <c r="N17" s="65"/>
      <c r="O17" s="65"/>
      <c r="P17" s="65"/>
      <c r="Q17" s="65"/>
      <c r="R17" s="65"/>
      <c r="S17" s="65"/>
      <c r="T17" s="83"/>
      <c r="U17" s="83"/>
      <c r="W17" s="65"/>
      <c r="X17" s="65"/>
      <c r="Y17" s="43"/>
      <c r="Z17" s="43"/>
    </row>
    <row r="18" spans="1:26" s="84" customFormat="1" ht="13.5" thickBot="1">
      <c r="A18" s="65"/>
      <c r="B18" s="82"/>
      <c r="C18" s="82"/>
      <c r="D18" s="82"/>
      <c r="E18" s="82"/>
      <c r="F18" s="82"/>
      <c r="G18" s="82"/>
      <c r="H18" s="82"/>
      <c r="I18" s="82"/>
      <c r="J18" s="82"/>
      <c r="K18" s="82"/>
      <c r="L18" s="65"/>
      <c r="M18" s="65"/>
      <c r="N18" s="65"/>
      <c r="O18" s="65"/>
      <c r="P18" s="65"/>
      <c r="Q18" s="65"/>
      <c r="R18" s="65"/>
      <c r="S18" s="65"/>
      <c r="T18" s="83"/>
      <c r="U18" s="83"/>
      <c r="W18" s="65"/>
      <c r="X18" s="65"/>
      <c r="Y18" s="43"/>
      <c r="Z18" s="43"/>
    </row>
    <row r="19" spans="1:27" s="59" customFormat="1" ht="13.5" thickBot="1">
      <c r="A19" s="34" t="s">
        <v>24</v>
      </c>
      <c r="B19" s="17" t="s">
        <v>182</v>
      </c>
      <c r="C19" s="174" t="s">
        <v>183</v>
      </c>
      <c r="D19" s="55" t="s">
        <v>177</v>
      </c>
      <c r="E19" s="31">
        <v>44896</v>
      </c>
      <c r="F19" s="18">
        <v>44531</v>
      </c>
      <c r="G19" s="18">
        <v>44166</v>
      </c>
      <c r="H19" s="18">
        <v>43800</v>
      </c>
      <c r="I19" s="18">
        <v>43435</v>
      </c>
      <c r="J19" s="18">
        <v>43070</v>
      </c>
      <c r="K19" s="18">
        <v>42705</v>
      </c>
      <c r="L19" s="56">
        <f>L1</f>
        <v>42339</v>
      </c>
      <c r="M19" s="56">
        <f>M1</f>
        <v>41974</v>
      </c>
      <c r="N19" s="56">
        <v>41609</v>
      </c>
      <c r="O19" s="56">
        <v>41244</v>
      </c>
      <c r="P19" s="56">
        <v>40878</v>
      </c>
      <c r="Q19" s="56">
        <v>40513</v>
      </c>
      <c r="R19" s="56">
        <v>40148</v>
      </c>
      <c r="S19" s="56">
        <v>39783</v>
      </c>
      <c r="T19" s="57">
        <v>39417</v>
      </c>
      <c r="U19" s="58">
        <v>39052</v>
      </c>
      <c r="V19" s="65"/>
      <c r="W19" s="60"/>
      <c r="X19" s="60"/>
      <c r="Y19" s="65"/>
      <c r="Z19" s="65"/>
      <c r="AA19" s="65"/>
    </row>
    <row r="20" spans="1:27" ht="12.75">
      <c r="A20" s="67" t="s">
        <v>140</v>
      </c>
      <c r="B20" s="68">
        <f aca="true" t="shared" si="2" ref="B20:B26">(E20-F20)/F20</f>
        <v>-0.11386823616300004</v>
      </c>
      <c r="C20" s="198">
        <f>E20-'[1]EU - country'!C20</f>
        <v>-43475.29069024499</v>
      </c>
      <c r="D20" s="43">
        <f>F20-'[1]EU - country'!D20</f>
        <v>-40473.00166909379</v>
      </c>
      <c r="E20" s="69">
        <f>Belgium!E$20</f>
        <v>221044.6823573758</v>
      </c>
      <c r="F20" s="43">
        <f>Belgium!F$20</f>
        <v>249449</v>
      </c>
      <c r="G20" s="43">
        <f>Belgium!G$20</f>
        <v>279087</v>
      </c>
      <c r="H20" s="43">
        <f>Belgium!H$20</f>
        <v>213675</v>
      </c>
      <c r="I20" s="43">
        <v>266890</v>
      </c>
      <c r="J20" s="43">
        <v>194885</v>
      </c>
      <c r="K20" s="43">
        <f>Belgium!K$20</f>
        <v>227982</v>
      </c>
      <c r="L20" s="43">
        <f>Belgium!L$20</f>
        <v>270107</v>
      </c>
      <c r="M20" s="43">
        <f>Belgium!M$20</f>
        <v>244970</v>
      </c>
      <c r="N20" s="43">
        <f>Belgium!N$20</f>
        <v>209901</v>
      </c>
      <c r="O20" s="43">
        <f>Belgium!O$20</f>
        <v>137139</v>
      </c>
      <c r="P20" s="43">
        <f>Belgium!P$20</f>
        <v>179980</v>
      </c>
      <c r="Q20" s="43">
        <f>Belgium!Q$20</f>
        <v>144300</v>
      </c>
      <c r="R20" s="43">
        <v>143100</v>
      </c>
      <c r="S20" s="43">
        <v>67300</v>
      </c>
      <c r="T20" s="43">
        <v>126500</v>
      </c>
      <c r="U20" s="70">
        <v>137400</v>
      </c>
      <c r="W20" s="65"/>
      <c r="X20" s="65"/>
      <c r="Y20" s="65"/>
      <c r="Z20" s="65"/>
      <c r="AA20" s="65"/>
    </row>
    <row r="21" spans="1:27" ht="12.75">
      <c r="A21" s="67" t="s">
        <v>30</v>
      </c>
      <c r="B21" s="68">
        <f t="shared" si="2"/>
        <v>0.041453428863868984</v>
      </c>
      <c r="C21" s="198">
        <f>E21-'[1]EU - country'!C21</f>
        <v>-941</v>
      </c>
      <c r="D21" s="43">
        <f>F21-'[1]EU - country'!D21</f>
        <v>-1429</v>
      </c>
      <c r="E21" s="69">
        <f>'Czech Republic'!E$21</f>
        <v>2035</v>
      </c>
      <c r="F21" s="43">
        <f>'Czech Republic'!F$21</f>
        <v>1954</v>
      </c>
      <c r="G21" s="43">
        <f>'Czech Republic'!G$21</f>
        <v>3587</v>
      </c>
      <c r="H21" s="43">
        <f>'Czech Republic'!H$21</f>
        <v>3292</v>
      </c>
      <c r="I21" s="43">
        <v>2348</v>
      </c>
      <c r="J21" s="43">
        <v>1719</v>
      </c>
      <c r="K21" s="43">
        <f>'Czech Republic'!K$21</f>
        <v>1404</v>
      </c>
      <c r="L21" s="43">
        <f>'Czech Republic'!L$21</f>
        <v>4293</v>
      </c>
      <c r="M21" s="43">
        <f>'Czech Republic'!M$21</f>
        <v>598</v>
      </c>
      <c r="N21" s="43">
        <f>'Czech Republic'!N$21</f>
        <v>2694</v>
      </c>
      <c r="O21" s="43">
        <f>'Czech Republic'!O$21</f>
        <v>856</v>
      </c>
      <c r="P21" s="43">
        <f>'Czech Republic'!P$21</f>
        <v>1226</v>
      </c>
      <c r="Q21" s="43">
        <f>'Czech Republic'!Q$21</f>
        <v>683</v>
      </c>
      <c r="R21" s="43">
        <v>687</v>
      </c>
      <c r="S21" s="43">
        <v>0</v>
      </c>
      <c r="T21" s="43">
        <v>38</v>
      </c>
      <c r="U21" s="70">
        <v>156</v>
      </c>
      <c r="W21" s="65"/>
      <c r="X21" s="65"/>
      <c r="Y21" s="65"/>
      <c r="Z21" s="65"/>
      <c r="AA21" s="65"/>
    </row>
    <row r="22" spans="1:27" ht="12.75">
      <c r="A22" s="67" t="s">
        <v>39</v>
      </c>
      <c r="B22" s="68">
        <f t="shared" si="2"/>
        <v>4.355371900826446</v>
      </c>
      <c r="C22" s="198">
        <f>E22-'[1]EU - country'!C22</f>
        <v>-652</v>
      </c>
      <c r="D22" s="43">
        <f>F22-'[1]EU - country'!D22</f>
        <v>-941</v>
      </c>
      <c r="E22" s="69">
        <f>Denmark!E$27</f>
        <v>648</v>
      </c>
      <c r="F22" s="43">
        <f>Denmark!F$27</f>
        <v>121</v>
      </c>
      <c r="G22" s="43">
        <f>Denmark!G$27</f>
        <v>117</v>
      </c>
      <c r="H22" s="43">
        <f>Denmark!H$27</f>
        <v>214</v>
      </c>
      <c r="I22" s="43">
        <v>626</v>
      </c>
      <c r="J22" s="43">
        <v>0</v>
      </c>
      <c r="K22" s="43">
        <f>Denmark!K$27</f>
        <v>186</v>
      </c>
      <c r="L22" s="43">
        <f>Denmark!L$27</f>
        <v>859</v>
      </c>
      <c r="M22" s="43">
        <f>Denmark!M$27</f>
        <v>95</v>
      </c>
      <c r="N22" s="43">
        <f>Denmark!N$27</f>
        <v>1088</v>
      </c>
      <c r="O22" s="43">
        <f>Denmark!O$27</f>
        <v>98</v>
      </c>
      <c r="P22" s="43">
        <f>Denmark!P$27</f>
        <v>344</v>
      </c>
      <c r="Q22" s="43">
        <f>Denmark!Q$27</f>
        <v>152</v>
      </c>
      <c r="R22" s="43">
        <v>605</v>
      </c>
      <c r="S22" s="43">
        <v>425</v>
      </c>
      <c r="T22" s="43">
        <v>148</v>
      </c>
      <c r="U22" s="70">
        <v>43</v>
      </c>
      <c r="W22" s="65"/>
      <c r="X22" s="66"/>
      <c r="Y22" s="65"/>
      <c r="Z22" s="65"/>
      <c r="AA22" s="65"/>
    </row>
    <row r="23" spans="1:26" ht="13.5" customHeight="1">
      <c r="A23" s="67" t="s">
        <v>20</v>
      </c>
      <c r="B23" s="68">
        <f t="shared" si="2"/>
        <v>0.3691972167410946</v>
      </c>
      <c r="C23" s="198">
        <f>E23-'[1]EU - country'!C23</f>
        <v>-5821</v>
      </c>
      <c r="D23" s="164">
        <f>F23-'[1]EU - country'!D23</f>
        <v>-6390</v>
      </c>
      <c r="E23" s="180">
        <f>France!E38</f>
        <v>13184</v>
      </c>
      <c r="F23" s="164">
        <f>France!F38</f>
        <v>9629</v>
      </c>
      <c r="G23" s="164">
        <f>France!G38</f>
        <v>17314</v>
      </c>
      <c r="H23" s="164">
        <f>France!H38</f>
        <v>14566</v>
      </c>
      <c r="I23" s="43">
        <v>13169</v>
      </c>
      <c r="J23" s="43">
        <v>11812</v>
      </c>
      <c r="K23" s="43">
        <f>France!K38</f>
        <v>12765</v>
      </c>
      <c r="L23" s="43">
        <f>France!L38</f>
        <v>9589</v>
      </c>
      <c r="M23" s="43">
        <f>France!M38</f>
        <v>7766</v>
      </c>
      <c r="N23" s="43">
        <f>France!N38</f>
        <v>12345</v>
      </c>
      <c r="O23" s="43">
        <f>France!O38</f>
        <v>5724</v>
      </c>
      <c r="P23" s="43">
        <f>France!P38</f>
        <v>10871</v>
      </c>
      <c r="Q23" s="43">
        <f>France!Q38</f>
        <v>0</v>
      </c>
      <c r="R23" s="43">
        <v>12393</v>
      </c>
      <c r="S23" s="43">
        <v>5558</v>
      </c>
      <c r="T23" s="43"/>
      <c r="U23" s="70"/>
      <c r="W23" s="65"/>
      <c r="X23" s="65"/>
      <c r="Y23" s="43"/>
      <c r="Z23" s="43"/>
    </row>
    <row r="24" spans="1:26" ht="12.75">
      <c r="A24" s="67" t="s">
        <v>27</v>
      </c>
      <c r="B24" s="68">
        <f t="shared" si="2"/>
        <v>-0.08282208588957055</v>
      </c>
      <c r="C24" s="198">
        <f>E24-'[1]EU - country'!C24</f>
        <v>-513</v>
      </c>
      <c r="D24" s="43">
        <f>F24-'[1]EU - country'!D24</f>
        <v>-1911</v>
      </c>
      <c r="E24" s="69">
        <f>Germany!E$26</f>
        <v>5083</v>
      </c>
      <c r="F24" s="43">
        <f>Germany!F$26</f>
        <v>5542</v>
      </c>
      <c r="G24" s="43">
        <f>Germany!G$26</f>
        <v>4953</v>
      </c>
      <c r="H24" s="43">
        <f>Germany!H$26</f>
        <v>5376</v>
      </c>
      <c r="I24" s="43">
        <v>5040</v>
      </c>
      <c r="J24" s="43">
        <v>3221</v>
      </c>
      <c r="K24" s="43">
        <f>Germany!K$26</f>
        <v>3457</v>
      </c>
      <c r="L24" s="43">
        <f>Germany!L$26</f>
        <v>5609</v>
      </c>
      <c r="M24" s="43">
        <f>Germany!M$26</f>
        <v>3339</v>
      </c>
      <c r="N24" s="43">
        <f>Germany!N$26</f>
        <v>5436</v>
      </c>
      <c r="O24" s="43">
        <f>Germany!O$26</f>
        <v>2045</v>
      </c>
      <c r="P24" s="43">
        <f>Germany!P$26</f>
        <v>4606</v>
      </c>
      <c r="Q24" s="43">
        <f>Germany!Q$26</f>
        <v>3862</v>
      </c>
      <c r="R24" s="43">
        <v>4446</v>
      </c>
      <c r="S24" s="43">
        <v>2527</v>
      </c>
      <c r="T24" s="43">
        <v>2243</v>
      </c>
      <c r="U24" s="70">
        <v>2064</v>
      </c>
      <c r="W24" s="65"/>
      <c r="X24" s="66"/>
      <c r="Y24" s="43"/>
      <c r="Z24" s="43"/>
    </row>
    <row r="25" spans="1:26" ht="12.75">
      <c r="A25" s="67" t="s">
        <v>15</v>
      </c>
      <c r="B25" s="68">
        <f t="shared" si="2"/>
        <v>1.5517838356721536</v>
      </c>
      <c r="C25" s="198">
        <f>E25-'[1]EU - country'!C25</f>
        <v>-39478.301534759754</v>
      </c>
      <c r="D25" s="43">
        <f>F25-'[1]EU - country'!D25</f>
        <v>-14761.075817406221</v>
      </c>
      <c r="E25" s="69">
        <f>Italy!E$29</f>
        <v>141492.90875072434</v>
      </c>
      <c r="F25" s="43">
        <f>Italy!F$29</f>
        <v>55448.62647562557</v>
      </c>
      <c r="G25" s="43">
        <f>Italy!G$29</f>
        <v>220936.90028619717</v>
      </c>
      <c r="H25" s="43">
        <f>Italy!H$29</f>
        <v>108491.73440712279</v>
      </c>
      <c r="I25" s="43">
        <v>255781.3965072959</v>
      </c>
      <c r="J25" s="43">
        <v>285998</v>
      </c>
      <c r="K25" s="43">
        <f>Italy!K$29</f>
        <v>254320.34380295454</v>
      </c>
      <c r="L25" s="43">
        <f>Italy!L$29</f>
        <v>316542.18760784686</v>
      </c>
      <c r="M25" s="43">
        <f>Italy!M$29</f>
        <v>313943.30568824644</v>
      </c>
      <c r="N25" s="43">
        <f>Italy!N$29</f>
        <v>401545.789257584</v>
      </c>
      <c r="O25" s="43">
        <f>Italy!O$29</f>
        <v>285216</v>
      </c>
      <c r="P25" s="43">
        <f>Italy!P$29</f>
        <v>471554</v>
      </c>
      <c r="Q25" s="43">
        <f>Italy!Q$29</f>
        <v>216968</v>
      </c>
      <c r="R25" s="43">
        <v>297250</v>
      </c>
      <c r="S25" s="43">
        <v>237404</v>
      </c>
      <c r="T25" s="43">
        <v>278826</v>
      </c>
      <c r="U25" s="70">
        <v>316317</v>
      </c>
      <c r="W25" s="65"/>
      <c r="X25" s="66"/>
      <c r="Y25" s="43"/>
      <c r="Z25" s="43"/>
    </row>
    <row r="26" spans="1:26" ht="12.75">
      <c r="A26" s="37" t="s">
        <v>31</v>
      </c>
      <c r="B26" s="68">
        <f t="shared" si="2"/>
        <v>0.21951219512195122</v>
      </c>
      <c r="C26" s="198"/>
      <c r="D26" s="43"/>
      <c r="E26" s="69">
        <f>Poland!E$25</f>
        <v>50000</v>
      </c>
      <c r="F26" s="43">
        <f>Poland!F$25</f>
        <v>41000</v>
      </c>
      <c r="G26" s="43">
        <f>Poland!G$25</f>
        <v>36000</v>
      </c>
      <c r="H26" s="43">
        <f>Poland!H$25</f>
        <v>18000</v>
      </c>
      <c r="I26" s="43">
        <v>37000</v>
      </c>
      <c r="J26" s="43">
        <v>13000</v>
      </c>
      <c r="K26" s="43">
        <f>Poland!K$25</f>
        <v>16000</v>
      </c>
      <c r="L26" s="71">
        <f>Poland!L$25</f>
        <v>23000</v>
      </c>
      <c r="M26" s="71">
        <f>Poland!M$25</f>
        <v>13000</v>
      </c>
      <c r="N26" s="71">
        <f>Poland!N$25</f>
        <v>30000</v>
      </c>
      <c r="O26" s="71">
        <f>Poland!O$25</f>
        <v>8000</v>
      </c>
      <c r="P26" s="71">
        <f>Poland!P$25</f>
        <v>19000</v>
      </c>
      <c r="Q26" s="71">
        <f>Poland!Q$25</f>
        <v>22000</v>
      </c>
      <c r="R26" s="71">
        <v>50000</v>
      </c>
      <c r="S26" s="71">
        <v>35000</v>
      </c>
      <c r="T26" s="71">
        <v>18000</v>
      </c>
      <c r="U26" s="72">
        <v>40000</v>
      </c>
      <c r="W26" s="66"/>
      <c r="X26" s="66"/>
      <c r="Y26" s="43"/>
      <c r="Z26" s="43"/>
    </row>
    <row r="27" spans="1:26" ht="12.75" hidden="1">
      <c r="A27" s="37" t="s">
        <v>170</v>
      </c>
      <c r="B27" s="68"/>
      <c r="C27" s="198">
        <f>E27-'[1]EU - country'!C27</f>
        <v>-91339</v>
      </c>
      <c r="D27" s="164">
        <f>F27-'[1]EU - country'!D27</f>
        <v>-167628</v>
      </c>
      <c r="E27" s="180">
        <f>Portugal!E$14</f>
        <v>0</v>
      </c>
      <c r="F27" s="164">
        <f>Portugal!F$14</f>
        <v>0</v>
      </c>
      <c r="G27" s="164">
        <f>Portugal!G$14</f>
        <v>0</v>
      </c>
      <c r="H27" s="164">
        <f>Portugal!H$14</f>
        <v>0</v>
      </c>
      <c r="I27" s="164">
        <v>0</v>
      </c>
      <c r="J27" s="164">
        <v>0</v>
      </c>
      <c r="K27" s="43">
        <f>Portugal!K$14</f>
        <v>0</v>
      </c>
      <c r="L27" s="71">
        <f>Portugal!L$14</f>
        <v>0</v>
      </c>
      <c r="M27" s="71">
        <f>Portugal!M$14</f>
        <v>0</v>
      </c>
      <c r="N27" s="71">
        <f>Portugal!P$14</f>
        <v>0</v>
      </c>
      <c r="O27" s="71">
        <f>Portugal!Q$14</f>
        <v>0</v>
      </c>
      <c r="P27" s="71">
        <f>Portugal!R$14</f>
        <v>0</v>
      </c>
      <c r="Q27" s="71">
        <f>Portugal!S$14</f>
        <v>0</v>
      </c>
      <c r="R27" s="71">
        <v>0</v>
      </c>
      <c r="S27" s="71">
        <v>0</v>
      </c>
      <c r="T27" s="71">
        <v>0</v>
      </c>
      <c r="U27" s="72">
        <v>0</v>
      </c>
      <c r="W27" s="66"/>
      <c r="X27" s="66"/>
      <c r="Y27" s="43"/>
      <c r="Z27" s="43"/>
    </row>
    <row r="28" spans="1:26" ht="12.75" hidden="1">
      <c r="A28" s="37" t="s">
        <v>178</v>
      </c>
      <c r="B28" s="68"/>
      <c r="C28" s="198">
        <f>E28-'[1]EU - country'!C28</f>
        <v>0</v>
      </c>
      <c r="D28" s="164">
        <f>F28-'[1]EU - country'!D28</f>
        <v>-66.66</v>
      </c>
      <c r="E28" s="180"/>
      <c r="F28" s="164"/>
      <c r="G28" s="164"/>
      <c r="H28" s="164"/>
      <c r="I28" s="164"/>
      <c r="J28" s="164"/>
      <c r="K28" s="43"/>
      <c r="L28" s="71"/>
      <c r="M28" s="71"/>
      <c r="N28" s="71"/>
      <c r="O28" s="71"/>
      <c r="P28" s="71"/>
      <c r="Q28" s="71"/>
      <c r="R28" s="71"/>
      <c r="S28" s="71"/>
      <c r="T28" s="71"/>
      <c r="U28" s="72"/>
      <c r="W28" s="66"/>
      <c r="X28" s="66"/>
      <c r="Y28" s="43"/>
      <c r="Z28" s="43"/>
    </row>
    <row r="29" spans="1:26" ht="12.75">
      <c r="A29" s="67" t="s">
        <v>36</v>
      </c>
      <c r="B29" s="68">
        <f>(E29-F29)/F29</f>
        <v>-0.28008736734723433</v>
      </c>
      <c r="C29" s="198">
        <f>E29-'[1]EU - country'!C29</f>
        <v>-10902.522079058639</v>
      </c>
      <c r="D29" s="43">
        <f>F29-'[1]EU - country'!D29</f>
        <v>-12007.490004871499</v>
      </c>
      <c r="E29" s="69">
        <f>Spain!E$17</f>
        <v>46438.2146671947</v>
      </c>
      <c r="F29" s="43">
        <f>Spain!F$17</f>
        <v>64505.34767819968</v>
      </c>
      <c r="G29" s="43">
        <f>Spain!G$17</f>
        <v>70267.3269065713</v>
      </c>
      <c r="H29" s="43">
        <f>Spain!H$17</f>
        <v>79332.82841910994</v>
      </c>
      <c r="I29" s="43">
        <v>71976</v>
      </c>
      <c r="J29" s="43">
        <v>86574</v>
      </c>
      <c r="K29" s="43">
        <f>Spain!K$17</f>
        <v>79800.32239763027</v>
      </c>
      <c r="L29" s="43">
        <f>Spain!L$17</f>
        <v>70326.23384133016</v>
      </c>
      <c r="M29" s="43">
        <f>Spain!M$17</f>
        <v>95692</v>
      </c>
      <c r="N29" s="43">
        <f>Spain!N$17</f>
        <v>111561.88378731743</v>
      </c>
      <c r="O29" s="43">
        <f>Spain!O$17</f>
        <v>69068</v>
      </c>
      <c r="P29" s="43">
        <f>Spain!P$17</f>
        <v>125781</v>
      </c>
      <c r="Q29" s="43">
        <f>Spain!Q$17</f>
        <v>123036</v>
      </c>
      <c r="R29" s="43">
        <v>88142</v>
      </c>
      <c r="S29" s="43">
        <v>99593</v>
      </c>
      <c r="T29" s="43">
        <v>103947</v>
      </c>
      <c r="U29" s="70">
        <v>120890</v>
      </c>
      <c r="W29" s="65"/>
      <c r="X29" s="66"/>
      <c r="Y29" s="43"/>
      <c r="Z29" s="43"/>
    </row>
    <row r="30" spans="1:26" ht="12.75">
      <c r="A30" s="67" t="s">
        <v>59</v>
      </c>
      <c r="B30" s="68">
        <f>(E30-F30)/F30</f>
        <v>0.24700620401096524</v>
      </c>
      <c r="C30" s="198">
        <f>E30-'[1]EU - country'!C30</f>
        <v>-1877</v>
      </c>
      <c r="D30" s="43">
        <f>F30-'[1]EU - country'!D30</f>
        <v>-1897</v>
      </c>
      <c r="E30" s="69">
        <f>Switzerland!E$28</f>
        <v>8643</v>
      </c>
      <c r="F30" s="43">
        <f>Switzerland!F$28</f>
        <v>6931</v>
      </c>
      <c r="G30" s="43">
        <f>Switzerland!G$28</f>
        <v>10016</v>
      </c>
      <c r="H30" s="43">
        <f>Switzerland!H$28</f>
        <v>10887</v>
      </c>
      <c r="I30" s="43">
        <v>9874</v>
      </c>
      <c r="J30" s="43">
        <v>2128</v>
      </c>
      <c r="K30" s="43">
        <f>Switzerland!K$28</f>
        <v>6941</v>
      </c>
      <c r="L30" s="43">
        <f>Switzerland!L$28</f>
        <v>7422</v>
      </c>
      <c r="M30" s="43">
        <f>Switzerland!M$28</f>
        <v>9260</v>
      </c>
      <c r="N30" s="43">
        <f>Switzerland!N$28</f>
        <v>7596</v>
      </c>
      <c r="O30" s="43">
        <f>Switzerland!O$28</f>
        <v>5504</v>
      </c>
      <c r="P30" s="43">
        <f>Switzerland!P$28</f>
        <v>11125</v>
      </c>
      <c r="Q30" s="43">
        <f>Switzerland!Q$28</f>
        <v>4954</v>
      </c>
      <c r="R30" s="43">
        <v>11369</v>
      </c>
      <c r="S30" s="43">
        <v>3305</v>
      </c>
      <c r="T30" s="43">
        <v>11427</v>
      </c>
      <c r="U30" s="70">
        <v>6117</v>
      </c>
      <c r="W30" s="65"/>
      <c r="X30" s="66"/>
      <c r="Y30" s="43"/>
      <c r="Z30" s="43"/>
    </row>
    <row r="31" spans="1:26" ht="13.5" thickBot="1">
      <c r="A31" s="67" t="s">
        <v>0</v>
      </c>
      <c r="B31" s="68">
        <f>(E31-F31)/F31</f>
        <v>0.05446552145241391</v>
      </c>
      <c r="C31" s="198">
        <f>E31-'[1]EU - country'!C31</f>
        <v>-31536</v>
      </c>
      <c r="D31" s="43">
        <f>F31-'[1]EU - country'!D31</f>
        <v>-25415</v>
      </c>
      <c r="E31" s="69">
        <f>Netherlands!E$15</f>
        <v>233136</v>
      </c>
      <c r="F31" s="43">
        <f>Netherlands!F$15</f>
        <v>221094</v>
      </c>
      <c r="G31" s="43">
        <f>Netherlands!G$15</f>
        <v>257000</v>
      </c>
      <c r="H31" s="43">
        <f>Netherlands!H$15</f>
        <v>228000</v>
      </c>
      <c r="I31" s="43">
        <v>249916.536</v>
      </c>
      <c r="J31" s="43">
        <v>206152</v>
      </c>
      <c r="K31" s="43">
        <f>Netherlands!K$15</f>
        <v>232567</v>
      </c>
      <c r="L31" s="43">
        <f>Netherlands!L$15</f>
        <v>224184</v>
      </c>
      <c r="M31" s="43">
        <f>Netherlands!M$15</f>
        <v>220066</v>
      </c>
      <c r="N31" s="43">
        <f>Netherlands!N$15</f>
        <v>221727</v>
      </c>
      <c r="O31" s="43">
        <f>Netherlands!O$15</f>
        <v>117000</v>
      </c>
      <c r="P31" s="43">
        <f>Netherlands!P$15</f>
        <v>187000</v>
      </c>
      <c r="Q31" s="43">
        <f>Netherlands!Q$15</f>
        <v>150000</v>
      </c>
      <c r="R31" s="43">
        <v>171000</v>
      </c>
      <c r="S31" s="43">
        <v>86000</v>
      </c>
      <c r="T31" s="43">
        <v>129000</v>
      </c>
      <c r="U31" s="70">
        <v>120000</v>
      </c>
      <c r="W31" s="65"/>
      <c r="X31" s="66"/>
      <c r="Y31" s="43"/>
      <c r="Z31" s="43"/>
    </row>
    <row r="32" spans="1:26" ht="13.5" hidden="1" thickBot="1">
      <c r="A32" s="73" t="s">
        <v>167</v>
      </c>
      <c r="B32" s="68"/>
      <c r="C32" s="198">
        <f>E32-'[1]EU - country'!C32</f>
        <v>0</v>
      </c>
      <c r="D32" s="43">
        <f>F32-'[1]EU - country'!D32</f>
        <v>0</v>
      </c>
      <c r="E32" s="69"/>
      <c r="F32" s="43"/>
      <c r="G32" s="43">
        <f>UK!G$19</f>
        <v>0</v>
      </c>
      <c r="H32" s="43">
        <f>UK!H$19</f>
        <v>0</v>
      </c>
      <c r="I32" s="43">
        <v>0</v>
      </c>
      <c r="J32" s="76">
        <v>10074</v>
      </c>
      <c r="K32" s="76">
        <f>UK!K$19</f>
        <v>0</v>
      </c>
      <c r="L32" s="76">
        <f>UK!L$19</f>
        <v>16700</v>
      </c>
      <c r="M32" s="76">
        <f>UK!M$19</f>
        <v>13500</v>
      </c>
      <c r="N32" s="76">
        <f>UK!N$19</f>
        <v>16600</v>
      </c>
      <c r="O32" s="76">
        <f>UK!O$19</f>
        <v>14000</v>
      </c>
      <c r="P32" s="76">
        <f>UK!P$19</f>
        <v>19500</v>
      </c>
      <c r="Q32" s="76">
        <f>UK!Q$19</f>
        <v>18000</v>
      </c>
      <c r="R32" s="76">
        <v>18900</v>
      </c>
      <c r="S32" s="76">
        <v>14100</v>
      </c>
      <c r="T32" s="76">
        <v>15000</v>
      </c>
      <c r="U32" s="77">
        <v>18000</v>
      </c>
      <c r="W32" s="65"/>
      <c r="X32" s="66"/>
      <c r="Y32" s="43"/>
      <c r="Z32" s="43"/>
    </row>
    <row r="33" spans="1:26" ht="13.5" thickBot="1">
      <c r="A33" s="49" t="s">
        <v>22</v>
      </c>
      <c r="B33" s="168">
        <f>(E33-F33)/F33</f>
        <v>0.10070680585833075</v>
      </c>
      <c r="C33" s="197"/>
      <c r="D33" s="102"/>
      <c r="E33" s="51">
        <f>SUM(E20:E32)</f>
        <v>721704.8057752948</v>
      </c>
      <c r="F33" s="102">
        <f>SUM(F20:F32)</f>
        <v>655673.9741538253</v>
      </c>
      <c r="G33" s="102">
        <f>SUM(G20:G32)</f>
        <v>899278.2271927685</v>
      </c>
      <c r="H33" s="102">
        <f>SUM(H20:H32)</f>
        <v>681834.5628262328</v>
      </c>
      <c r="I33" s="102">
        <v>912620.9325072959</v>
      </c>
      <c r="J33" s="80">
        <v>815563</v>
      </c>
      <c r="K33" s="80">
        <f>SUM(K20:K32)</f>
        <v>835422.6662005848</v>
      </c>
      <c r="L33" s="80">
        <f>SUM(L20:L32)</f>
        <v>948631.4214491771</v>
      </c>
      <c r="M33" s="80">
        <f>SUM(M20:M32)</f>
        <v>922229.3056882464</v>
      </c>
      <c r="N33" s="80">
        <f>SUM(N20:N32)</f>
        <v>1020494.6730449015</v>
      </c>
      <c r="O33" s="80">
        <f>SUM(O20:O32)</f>
        <v>644650</v>
      </c>
      <c r="P33" s="80">
        <f aca="true" t="shared" si="3" ref="P33:U33">SUM(P20:P32)</f>
        <v>1030987</v>
      </c>
      <c r="Q33" s="80">
        <f t="shared" si="3"/>
        <v>683955</v>
      </c>
      <c r="R33" s="80">
        <f t="shared" si="3"/>
        <v>797892</v>
      </c>
      <c r="S33" s="80">
        <f t="shared" si="3"/>
        <v>551212</v>
      </c>
      <c r="T33" s="80">
        <f t="shared" si="3"/>
        <v>685129</v>
      </c>
      <c r="U33" s="81">
        <f t="shared" si="3"/>
        <v>760987</v>
      </c>
      <c r="W33" s="60"/>
      <c r="X33" s="65"/>
      <c r="Y33" s="43"/>
      <c r="Z33" s="43"/>
    </row>
    <row r="34" spans="1:26" ht="12.75">
      <c r="A34" s="33" t="s">
        <v>168</v>
      </c>
      <c r="C34" s="41"/>
      <c r="I34" s="43"/>
      <c r="J34" s="43"/>
      <c r="U34" s="85"/>
      <c r="Y34" s="85"/>
      <c r="Z34" s="85"/>
    </row>
    <row r="35" spans="1:26" ht="12.75">
      <c r="A35" s="66" t="s">
        <v>169</v>
      </c>
      <c r="T35" s="85"/>
      <c r="U35" s="85"/>
      <c r="W35" s="66"/>
      <c r="Y35" s="85"/>
      <c r="Z35" s="85"/>
    </row>
    <row r="36" spans="2:26" ht="12.75">
      <c r="B36" s="65"/>
      <c r="C36" s="65"/>
      <c r="D36" s="65"/>
      <c r="E36" s="65"/>
      <c r="K36" s="65"/>
      <c r="L36" s="65"/>
      <c r="M36" s="65"/>
      <c r="N36" s="65"/>
      <c r="O36" s="65"/>
      <c r="P36" s="65"/>
      <c r="Q36" s="65"/>
      <c r="R36" s="65"/>
      <c r="S36" s="65"/>
      <c r="T36" s="85"/>
      <c r="U36" s="85"/>
      <c r="Y36" s="85"/>
      <c r="Z36" s="85"/>
    </row>
    <row r="37" spans="1:23" ht="12.75">
      <c r="A37" s="86"/>
      <c r="B37" s="65"/>
      <c r="C37" s="65"/>
      <c r="D37" s="65"/>
      <c r="E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86"/>
    </row>
    <row r="38" spans="1:23" ht="14.25" customHeight="1">
      <c r="A38" s="87"/>
      <c r="B38" s="87"/>
      <c r="C38" s="225"/>
      <c r="D38" s="225"/>
      <c r="E38" s="225"/>
      <c r="F38" s="225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8"/>
      <c r="U38" s="88"/>
      <c r="V38" s="65"/>
      <c r="W38" s="87"/>
    </row>
    <row r="39" spans="1:23" ht="12.75">
      <c r="A39" s="65"/>
      <c r="B39" s="65"/>
      <c r="C39" s="65"/>
      <c r="D39" s="65"/>
      <c r="E39" s="65"/>
      <c r="K39" s="65"/>
      <c r="L39" s="65"/>
      <c r="M39" s="65"/>
      <c r="N39" s="65"/>
      <c r="O39" s="65"/>
      <c r="P39" s="65"/>
      <c r="Q39" s="65"/>
      <c r="R39" s="65"/>
      <c r="S39" s="65"/>
      <c r="T39" s="43"/>
      <c r="U39" s="43"/>
      <c r="V39" s="65"/>
      <c r="W39" s="65"/>
    </row>
    <row r="40" spans="1:24" ht="15" customHeight="1">
      <c r="A40" s="89"/>
      <c r="B40" s="89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90"/>
      <c r="U40" s="90"/>
      <c r="V40" s="91"/>
      <c r="W40" s="89"/>
      <c r="X40" s="84"/>
    </row>
    <row r="41" spans="1:24" ht="12.75">
      <c r="A41" s="65"/>
      <c r="B41" s="65"/>
      <c r="C41" s="65"/>
      <c r="D41" s="65"/>
      <c r="E41" s="65"/>
      <c r="K41" s="65"/>
      <c r="L41" s="65"/>
      <c r="M41" s="65"/>
      <c r="N41" s="65"/>
      <c r="O41" s="65"/>
      <c r="P41" s="65"/>
      <c r="Q41" s="65"/>
      <c r="R41" s="65"/>
      <c r="S41" s="65"/>
      <c r="T41" s="92"/>
      <c r="U41" s="92"/>
      <c r="V41" s="43"/>
      <c r="W41" s="65"/>
      <c r="X41" s="84"/>
    </row>
    <row r="42" spans="1:24" ht="12.75">
      <c r="A42" s="65"/>
      <c r="B42" s="65"/>
      <c r="C42" s="65"/>
      <c r="D42" s="65"/>
      <c r="E42" s="65"/>
      <c r="K42" s="65"/>
      <c r="L42" s="65"/>
      <c r="M42" s="65"/>
      <c r="N42" s="65"/>
      <c r="O42" s="65"/>
      <c r="P42" s="65"/>
      <c r="Q42" s="65"/>
      <c r="R42" s="65"/>
      <c r="S42" s="65"/>
      <c r="T42" s="92"/>
      <c r="U42" s="92"/>
      <c r="V42" s="43"/>
      <c r="W42" s="65"/>
      <c r="X42" s="84"/>
    </row>
    <row r="43" spans="1:24" ht="12.75">
      <c r="A43" s="65"/>
      <c r="B43" s="65"/>
      <c r="C43" s="65"/>
      <c r="D43" s="65"/>
      <c r="E43" s="65"/>
      <c r="K43" s="65"/>
      <c r="L43" s="65"/>
      <c r="M43" s="65"/>
      <c r="N43" s="65"/>
      <c r="O43" s="65"/>
      <c r="P43" s="65"/>
      <c r="Q43" s="65"/>
      <c r="R43" s="65"/>
      <c r="S43" s="65"/>
      <c r="T43" s="92"/>
      <c r="U43" s="92"/>
      <c r="V43" s="43"/>
      <c r="W43" s="65"/>
      <c r="X43" s="84"/>
    </row>
    <row r="44" spans="1:24" ht="12.75">
      <c r="A44" s="65"/>
      <c r="B44" s="65"/>
      <c r="C44" s="65"/>
      <c r="D44" s="65"/>
      <c r="E44" s="65"/>
      <c r="K44" s="65"/>
      <c r="L44" s="65"/>
      <c r="M44" s="65"/>
      <c r="N44" s="65"/>
      <c r="O44" s="65"/>
      <c r="P44" s="65"/>
      <c r="Q44" s="65"/>
      <c r="R44" s="65"/>
      <c r="S44" s="65"/>
      <c r="T44" s="92"/>
      <c r="U44" s="92"/>
      <c r="V44" s="43"/>
      <c r="W44" s="65"/>
      <c r="X44" s="84"/>
    </row>
    <row r="45" spans="1:24" ht="12.75">
      <c r="A45" s="65"/>
      <c r="B45" s="65"/>
      <c r="C45" s="65"/>
      <c r="D45" s="65"/>
      <c r="E45" s="65"/>
      <c r="K45" s="65"/>
      <c r="L45" s="65"/>
      <c r="M45" s="65"/>
      <c r="N45" s="65"/>
      <c r="O45" s="65"/>
      <c r="P45" s="65"/>
      <c r="Q45" s="65"/>
      <c r="R45" s="65"/>
      <c r="S45" s="65"/>
      <c r="T45" s="92"/>
      <c r="U45" s="92"/>
      <c r="V45" s="43"/>
      <c r="W45" s="65"/>
      <c r="X45" s="84"/>
    </row>
    <row r="46" spans="1:24" ht="12.75">
      <c r="A46" s="65"/>
      <c r="B46" s="65"/>
      <c r="C46" s="65"/>
      <c r="D46" s="65"/>
      <c r="E46" s="65"/>
      <c r="K46" s="65"/>
      <c r="L46" s="65"/>
      <c r="M46" s="65"/>
      <c r="N46" s="65"/>
      <c r="O46" s="65"/>
      <c r="P46" s="65"/>
      <c r="Q46" s="65"/>
      <c r="R46" s="65"/>
      <c r="S46" s="65"/>
      <c r="T46" s="92"/>
      <c r="U46" s="92"/>
      <c r="V46" s="43"/>
      <c r="W46" s="65"/>
      <c r="X46" s="84"/>
    </row>
    <row r="47" spans="1:24" ht="12.75">
      <c r="A47" s="65"/>
      <c r="B47" s="65"/>
      <c r="C47" s="65"/>
      <c r="D47" s="65"/>
      <c r="E47" s="65"/>
      <c r="K47" s="65"/>
      <c r="L47" s="65"/>
      <c r="M47" s="65"/>
      <c r="N47" s="65"/>
      <c r="O47" s="65"/>
      <c r="P47" s="65"/>
      <c r="Q47" s="65"/>
      <c r="R47" s="65"/>
      <c r="S47" s="65"/>
      <c r="T47" s="92"/>
      <c r="U47" s="92"/>
      <c r="V47" s="43"/>
      <c r="W47" s="65"/>
      <c r="X47" s="84"/>
    </row>
    <row r="48" spans="1:24" ht="12.75">
      <c r="A48" s="93"/>
      <c r="B48" s="93"/>
      <c r="C48" s="93"/>
      <c r="D48" s="93"/>
      <c r="E48" s="93"/>
      <c r="F48" s="93"/>
      <c r="G48" s="93"/>
      <c r="H48" s="93"/>
      <c r="I48" s="93"/>
      <c r="J48" s="93"/>
      <c r="K48" s="93"/>
      <c r="L48" s="93"/>
      <c r="M48" s="93"/>
      <c r="N48" s="93"/>
      <c r="O48" s="93"/>
      <c r="P48" s="93"/>
      <c r="Q48" s="93"/>
      <c r="R48" s="93"/>
      <c r="S48" s="93"/>
      <c r="T48" s="92"/>
      <c r="U48" s="92"/>
      <c r="V48" s="43"/>
      <c r="W48" s="93"/>
      <c r="X48" s="84"/>
    </row>
    <row r="49" spans="1:24" ht="12.75">
      <c r="A49" s="93"/>
      <c r="B49" s="93"/>
      <c r="C49" s="93"/>
      <c r="D49" s="93"/>
      <c r="E49" s="93"/>
      <c r="F49" s="93"/>
      <c r="G49" s="93"/>
      <c r="H49" s="93"/>
      <c r="I49" s="93"/>
      <c r="J49" s="93"/>
      <c r="K49" s="93"/>
      <c r="L49" s="93"/>
      <c r="M49" s="93"/>
      <c r="N49" s="93"/>
      <c r="O49" s="93"/>
      <c r="P49" s="93"/>
      <c r="Q49" s="93"/>
      <c r="R49" s="93"/>
      <c r="S49" s="93"/>
      <c r="T49" s="92"/>
      <c r="U49" s="92"/>
      <c r="V49" s="43"/>
      <c r="W49" s="93"/>
      <c r="X49" s="84"/>
    </row>
    <row r="50" spans="1:24" ht="12.75">
      <c r="A50" s="93"/>
      <c r="B50" s="93"/>
      <c r="C50" s="93"/>
      <c r="D50" s="93"/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2"/>
      <c r="U50" s="92"/>
      <c r="V50" s="43"/>
      <c r="W50" s="93"/>
      <c r="X50" s="84"/>
    </row>
    <row r="51" spans="1:24" ht="12.75">
      <c r="A51" s="93"/>
      <c r="B51" s="93"/>
      <c r="C51" s="93"/>
      <c r="D51" s="93"/>
      <c r="E51" s="93"/>
      <c r="F51" s="93"/>
      <c r="G51" s="93"/>
      <c r="H51" s="93"/>
      <c r="I51" s="93"/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92"/>
      <c r="U51" s="92"/>
      <c r="V51" s="43"/>
      <c r="W51" s="93"/>
      <c r="X51" s="84"/>
    </row>
    <row r="52" spans="1:24" ht="12.75">
      <c r="A52" s="93"/>
      <c r="B52" s="93"/>
      <c r="C52" s="93"/>
      <c r="D52" s="93"/>
      <c r="E52" s="93"/>
      <c r="F52" s="93"/>
      <c r="G52" s="93"/>
      <c r="H52" s="93"/>
      <c r="I52" s="93"/>
      <c r="J52" s="93"/>
      <c r="K52" s="93"/>
      <c r="L52" s="93"/>
      <c r="M52" s="93"/>
      <c r="N52" s="93"/>
      <c r="O52" s="93"/>
      <c r="P52" s="93"/>
      <c r="Q52" s="93"/>
      <c r="R52" s="93"/>
      <c r="S52" s="93"/>
      <c r="T52" s="92"/>
      <c r="U52" s="92"/>
      <c r="V52" s="43"/>
      <c r="W52" s="93"/>
      <c r="X52" s="84"/>
    </row>
    <row r="53" spans="1:24" ht="12.75">
      <c r="A53" s="93"/>
      <c r="B53" s="93"/>
      <c r="C53" s="93"/>
      <c r="D53" s="93"/>
      <c r="E53" s="93"/>
      <c r="F53" s="93"/>
      <c r="G53" s="93"/>
      <c r="H53" s="93"/>
      <c r="I53" s="93"/>
      <c r="J53" s="93"/>
      <c r="K53" s="93"/>
      <c r="L53" s="93"/>
      <c r="M53" s="93"/>
      <c r="N53" s="93"/>
      <c r="O53" s="93"/>
      <c r="P53" s="93"/>
      <c r="Q53" s="93"/>
      <c r="R53" s="93"/>
      <c r="S53" s="93"/>
      <c r="T53" s="92"/>
      <c r="U53" s="92"/>
      <c r="V53" s="43"/>
      <c r="W53" s="93"/>
      <c r="X53" s="84"/>
    </row>
    <row r="54" spans="1:24" ht="12.75">
      <c r="A54" s="93"/>
      <c r="B54" s="93"/>
      <c r="C54" s="93"/>
      <c r="D54" s="93"/>
      <c r="E54" s="93"/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2"/>
      <c r="U54" s="92"/>
      <c r="V54" s="43"/>
      <c r="W54" s="93"/>
      <c r="X54" s="84"/>
    </row>
    <row r="55" spans="1:24" ht="12.75">
      <c r="A55" s="94"/>
      <c r="B55" s="94"/>
      <c r="C55" s="94"/>
      <c r="D55" s="94"/>
      <c r="E55" s="94"/>
      <c r="F55" s="94"/>
      <c r="G55" s="94"/>
      <c r="H55" s="94"/>
      <c r="I55" s="94"/>
      <c r="J55" s="94"/>
      <c r="K55" s="94"/>
      <c r="L55" s="94"/>
      <c r="M55" s="94"/>
      <c r="N55" s="94"/>
      <c r="O55" s="94"/>
      <c r="P55" s="94"/>
      <c r="Q55" s="94"/>
      <c r="R55" s="94"/>
      <c r="S55" s="94"/>
      <c r="T55" s="92"/>
      <c r="U55" s="92"/>
      <c r="V55" s="43"/>
      <c r="W55" s="94"/>
      <c r="X55" s="84"/>
    </row>
    <row r="56" spans="1:24" ht="12.75">
      <c r="A56" s="93"/>
      <c r="B56" s="93"/>
      <c r="C56" s="93"/>
      <c r="D56" s="93"/>
      <c r="E56" s="93"/>
      <c r="F56" s="93"/>
      <c r="G56" s="93"/>
      <c r="H56" s="93"/>
      <c r="I56" s="93"/>
      <c r="J56" s="93"/>
      <c r="K56" s="93"/>
      <c r="L56" s="93"/>
      <c r="M56" s="93"/>
      <c r="N56" s="93"/>
      <c r="O56" s="93"/>
      <c r="P56" s="93"/>
      <c r="Q56" s="93"/>
      <c r="R56" s="93"/>
      <c r="S56" s="93"/>
      <c r="T56" s="92"/>
      <c r="U56" s="92"/>
      <c r="V56" s="95"/>
      <c r="W56" s="93"/>
      <c r="X56" s="84"/>
    </row>
    <row r="57" spans="1:23" ht="12.75">
      <c r="A57" s="93"/>
      <c r="B57" s="93"/>
      <c r="C57" s="93"/>
      <c r="D57" s="93"/>
      <c r="E57" s="93"/>
      <c r="F57" s="93"/>
      <c r="G57" s="93"/>
      <c r="H57" s="93"/>
      <c r="I57" s="93"/>
      <c r="J57" s="93"/>
      <c r="K57" s="93"/>
      <c r="L57" s="93"/>
      <c r="M57" s="93"/>
      <c r="N57" s="93"/>
      <c r="O57" s="93"/>
      <c r="P57" s="93"/>
      <c r="Q57" s="93"/>
      <c r="R57" s="93"/>
      <c r="S57" s="93"/>
      <c r="T57" s="92"/>
      <c r="U57" s="92"/>
      <c r="V57" s="65"/>
      <c r="W57" s="93"/>
    </row>
    <row r="58" spans="1:24" ht="12.75">
      <c r="A58" s="93"/>
      <c r="B58" s="93"/>
      <c r="C58" s="93"/>
      <c r="D58" s="93"/>
      <c r="E58" s="93"/>
      <c r="F58" s="93"/>
      <c r="G58" s="93"/>
      <c r="H58" s="93"/>
      <c r="I58" s="93"/>
      <c r="J58" s="93"/>
      <c r="K58" s="93"/>
      <c r="L58" s="93"/>
      <c r="M58" s="93"/>
      <c r="N58" s="93"/>
      <c r="O58" s="93"/>
      <c r="P58" s="93"/>
      <c r="Q58" s="93"/>
      <c r="R58" s="93"/>
      <c r="S58" s="93"/>
      <c r="T58" s="92"/>
      <c r="U58" s="92"/>
      <c r="V58" s="43"/>
      <c r="W58" s="93"/>
      <c r="X58" s="84"/>
    </row>
    <row r="59" spans="1:24" ht="12.75">
      <c r="A59" s="93"/>
      <c r="B59" s="93"/>
      <c r="C59" s="93"/>
      <c r="D59" s="93"/>
      <c r="E59" s="93"/>
      <c r="F59" s="93"/>
      <c r="G59" s="93"/>
      <c r="H59" s="93"/>
      <c r="I59" s="93"/>
      <c r="J59" s="93"/>
      <c r="K59" s="93"/>
      <c r="L59" s="93"/>
      <c r="M59" s="93"/>
      <c r="N59" s="93"/>
      <c r="O59" s="93"/>
      <c r="P59" s="93"/>
      <c r="Q59" s="93"/>
      <c r="R59" s="93"/>
      <c r="S59" s="93"/>
      <c r="T59" s="92"/>
      <c r="U59" s="92"/>
      <c r="V59" s="43"/>
      <c r="W59" s="93"/>
      <c r="X59" s="84"/>
    </row>
    <row r="60" spans="1:24" ht="12.75">
      <c r="A60" s="93"/>
      <c r="B60" s="93"/>
      <c r="C60" s="93"/>
      <c r="D60" s="93"/>
      <c r="E60" s="93"/>
      <c r="F60" s="93"/>
      <c r="G60" s="93"/>
      <c r="H60" s="93"/>
      <c r="I60" s="93"/>
      <c r="J60" s="93"/>
      <c r="K60" s="93"/>
      <c r="L60" s="93"/>
      <c r="M60" s="93"/>
      <c r="N60" s="93"/>
      <c r="O60" s="93"/>
      <c r="P60" s="93"/>
      <c r="Q60" s="93"/>
      <c r="R60" s="93"/>
      <c r="S60" s="93"/>
      <c r="T60" s="92"/>
      <c r="U60" s="92"/>
      <c r="V60" s="43"/>
      <c r="W60" s="93"/>
      <c r="X60" s="84"/>
    </row>
    <row r="61" spans="1:24" ht="12.75">
      <c r="A61" s="93"/>
      <c r="B61" s="93"/>
      <c r="C61" s="93"/>
      <c r="D61" s="93"/>
      <c r="E61" s="93"/>
      <c r="F61" s="93"/>
      <c r="G61" s="93"/>
      <c r="H61" s="93"/>
      <c r="I61" s="93"/>
      <c r="J61" s="93"/>
      <c r="K61" s="93"/>
      <c r="L61" s="93"/>
      <c r="M61" s="93"/>
      <c r="N61" s="93"/>
      <c r="O61" s="93"/>
      <c r="P61" s="93"/>
      <c r="Q61" s="93"/>
      <c r="R61" s="93"/>
      <c r="S61" s="93"/>
      <c r="T61" s="92"/>
      <c r="U61" s="92"/>
      <c r="V61" s="43"/>
      <c r="W61" s="93"/>
      <c r="X61" s="84"/>
    </row>
    <row r="62" spans="1:24" ht="12.75">
      <c r="A62" s="93"/>
      <c r="B62" s="93"/>
      <c r="C62" s="93"/>
      <c r="D62" s="93"/>
      <c r="E62" s="93"/>
      <c r="F62" s="93"/>
      <c r="G62" s="93"/>
      <c r="H62" s="93"/>
      <c r="I62" s="93"/>
      <c r="J62" s="93"/>
      <c r="K62" s="93"/>
      <c r="L62" s="93"/>
      <c r="M62" s="93"/>
      <c r="N62" s="93"/>
      <c r="O62" s="93"/>
      <c r="P62" s="93"/>
      <c r="Q62" s="93"/>
      <c r="R62" s="93"/>
      <c r="S62" s="93"/>
      <c r="T62" s="92"/>
      <c r="U62" s="92"/>
      <c r="V62" s="43"/>
      <c r="W62" s="93"/>
      <c r="X62" s="84"/>
    </row>
    <row r="63" spans="1:24" ht="12.75">
      <c r="A63" s="93"/>
      <c r="B63" s="93"/>
      <c r="C63" s="93"/>
      <c r="D63" s="93"/>
      <c r="E63" s="93"/>
      <c r="F63" s="93"/>
      <c r="G63" s="93"/>
      <c r="H63" s="93"/>
      <c r="I63" s="93"/>
      <c r="J63" s="93"/>
      <c r="K63" s="93"/>
      <c r="L63" s="93"/>
      <c r="M63" s="93"/>
      <c r="N63" s="93"/>
      <c r="O63" s="93"/>
      <c r="P63" s="93"/>
      <c r="Q63" s="93"/>
      <c r="R63" s="93"/>
      <c r="S63" s="93"/>
      <c r="T63" s="92"/>
      <c r="U63" s="92"/>
      <c r="V63" s="95"/>
      <c r="W63" s="93"/>
      <c r="X63" s="84"/>
    </row>
    <row r="64" spans="1:23" ht="26.25" customHeight="1">
      <c r="A64" s="87"/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7"/>
      <c r="T64" s="96"/>
      <c r="U64" s="96"/>
      <c r="V64" s="65"/>
      <c r="W64" s="87"/>
    </row>
    <row r="65" spans="1:23" ht="12.75">
      <c r="A65" s="65"/>
      <c r="B65" s="65"/>
      <c r="C65" s="65"/>
      <c r="D65" s="65"/>
      <c r="E65" s="65"/>
      <c r="K65" s="65"/>
      <c r="L65" s="65"/>
      <c r="M65" s="65"/>
      <c r="N65" s="65"/>
      <c r="O65" s="65"/>
      <c r="P65" s="65"/>
      <c r="Q65" s="65"/>
      <c r="R65" s="65"/>
      <c r="S65" s="65"/>
      <c r="T65" s="43"/>
      <c r="U65" s="43"/>
      <c r="V65" s="65"/>
      <c r="W65" s="65"/>
    </row>
    <row r="66" spans="1:23" ht="12.75">
      <c r="A66" s="65"/>
      <c r="B66" s="65"/>
      <c r="C66" s="65"/>
      <c r="D66" s="65"/>
      <c r="E66" s="65"/>
      <c r="K66" s="65"/>
      <c r="L66" s="65"/>
      <c r="M66" s="65"/>
      <c r="N66" s="65"/>
      <c r="O66" s="65"/>
      <c r="P66" s="65"/>
      <c r="Q66" s="65"/>
      <c r="R66" s="65"/>
      <c r="S66" s="65"/>
      <c r="T66" s="43"/>
      <c r="U66" s="43"/>
      <c r="V66" s="65"/>
      <c r="W66" s="65"/>
    </row>
    <row r="67" spans="1:23" ht="12.75">
      <c r="A67" s="65"/>
      <c r="B67" s="65"/>
      <c r="C67" s="65"/>
      <c r="D67" s="65"/>
      <c r="E67" s="65"/>
      <c r="K67" s="65"/>
      <c r="L67" s="65"/>
      <c r="M67" s="65"/>
      <c r="N67" s="65"/>
      <c r="O67" s="65"/>
      <c r="P67" s="65"/>
      <c r="Q67" s="65"/>
      <c r="R67" s="65"/>
      <c r="S67" s="65"/>
      <c r="T67" s="43"/>
      <c r="U67" s="43"/>
      <c r="V67" s="65"/>
      <c r="W67" s="65"/>
    </row>
    <row r="68" spans="1:23" ht="12.75">
      <c r="A68" s="65"/>
      <c r="B68" s="65"/>
      <c r="C68" s="65"/>
      <c r="D68" s="65"/>
      <c r="E68" s="65"/>
      <c r="K68" s="65"/>
      <c r="L68" s="65"/>
      <c r="M68" s="65"/>
      <c r="N68" s="65"/>
      <c r="O68" s="65"/>
      <c r="P68" s="65"/>
      <c r="Q68" s="65"/>
      <c r="R68" s="65"/>
      <c r="S68" s="65"/>
      <c r="T68" s="97"/>
      <c r="U68" s="97"/>
      <c r="V68" s="65"/>
      <c r="W68" s="65"/>
    </row>
    <row r="69" spans="1:23" ht="12.75">
      <c r="A69" s="65"/>
      <c r="B69" s="65"/>
      <c r="C69" s="65"/>
      <c r="D69" s="65"/>
      <c r="E69" s="65"/>
      <c r="K69" s="65"/>
      <c r="L69" s="65"/>
      <c r="M69" s="65"/>
      <c r="N69" s="65"/>
      <c r="O69" s="65"/>
      <c r="P69" s="65"/>
      <c r="Q69" s="65"/>
      <c r="R69" s="65"/>
      <c r="S69" s="65"/>
      <c r="T69" s="97"/>
      <c r="U69" s="97"/>
      <c r="V69" s="65"/>
      <c r="W69" s="65"/>
    </row>
    <row r="70" spans="1:23" ht="12.75">
      <c r="A70" s="65"/>
      <c r="B70" s="65"/>
      <c r="C70" s="65"/>
      <c r="D70" s="65"/>
      <c r="E70" s="65"/>
      <c r="K70" s="65"/>
      <c r="L70" s="65"/>
      <c r="M70" s="65"/>
      <c r="N70" s="65"/>
      <c r="O70" s="65"/>
      <c r="P70" s="65"/>
      <c r="Q70" s="65"/>
      <c r="R70" s="65"/>
      <c r="S70" s="65"/>
      <c r="T70" s="43"/>
      <c r="U70" s="97"/>
      <c r="V70" s="65"/>
      <c r="W70" s="65"/>
    </row>
    <row r="71" spans="1:23" ht="12.75">
      <c r="A71" s="65"/>
      <c r="B71" s="65"/>
      <c r="C71" s="65"/>
      <c r="D71" s="65"/>
      <c r="E71" s="65"/>
      <c r="K71" s="65"/>
      <c r="L71" s="65"/>
      <c r="M71" s="65"/>
      <c r="N71" s="65"/>
      <c r="O71" s="65"/>
      <c r="P71" s="65"/>
      <c r="Q71" s="65"/>
      <c r="R71" s="65"/>
      <c r="S71" s="65"/>
      <c r="T71" s="43"/>
      <c r="U71" s="43"/>
      <c r="V71" s="65"/>
      <c r="W71" s="65"/>
    </row>
    <row r="72" spans="1:23" ht="12.75">
      <c r="A72" s="65"/>
      <c r="B72" s="65"/>
      <c r="C72" s="65"/>
      <c r="D72" s="65"/>
      <c r="E72" s="65"/>
      <c r="K72" s="65"/>
      <c r="L72" s="65"/>
      <c r="M72" s="65"/>
      <c r="N72" s="65"/>
      <c r="O72" s="65"/>
      <c r="P72" s="65"/>
      <c r="Q72" s="65"/>
      <c r="R72" s="65"/>
      <c r="S72" s="65"/>
      <c r="T72" s="43"/>
      <c r="U72" s="43"/>
      <c r="V72" s="65"/>
      <c r="W72" s="65"/>
    </row>
    <row r="73" spans="1:23" ht="12.75">
      <c r="A73" s="65"/>
      <c r="B73" s="65"/>
      <c r="C73" s="65"/>
      <c r="D73" s="65"/>
      <c r="E73" s="65"/>
      <c r="K73" s="65"/>
      <c r="L73" s="65"/>
      <c r="M73" s="65"/>
      <c r="N73" s="65"/>
      <c r="O73" s="65"/>
      <c r="P73" s="65"/>
      <c r="Q73" s="65"/>
      <c r="R73" s="65"/>
      <c r="S73" s="65"/>
      <c r="T73" s="43"/>
      <c r="U73" s="43"/>
      <c r="V73" s="65"/>
      <c r="W73" s="65"/>
    </row>
    <row r="74" spans="1:23" ht="12.75">
      <c r="A74" s="65"/>
      <c r="B74" s="65"/>
      <c r="C74" s="65"/>
      <c r="D74" s="65"/>
      <c r="E74" s="65"/>
      <c r="K74" s="65"/>
      <c r="L74" s="65"/>
      <c r="M74" s="65"/>
      <c r="N74" s="65"/>
      <c r="O74" s="65"/>
      <c r="P74" s="65"/>
      <c r="Q74" s="65"/>
      <c r="R74" s="65"/>
      <c r="S74" s="65"/>
      <c r="T74" s="43"/>
      <c r="U74" s="43"/>
      <c r="V74" s="65"/>
      <c r="W74" s="65"/>
    </row>
    <row r="75" spans="1:23" ht="12.75">
      <c r="A75" s="60"/>
      <c r="B75" s="60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95"/>
      <c r="U75" s="95"/>
      <c r="V75" s="65"/>
      <c r="W75" s="60"/>
    </row>
    <row r="76" spans="1:23" ht="12.75">
      <c r="A76" s="65"/>
      <c r="B76" s="65"/>
      <c r="C76" s="65"/>
      <c r="D76" s="65"/>
      <c r="E76" s="65"/>
      <c r="K76" s="65"/>
      <c r="L76" s="65"/>
      <c r="M76" s="65"/>
      <c r="N76" s="65"/>
      <c r="O76" s="65"/>
      <c r="P76" s="65"/>
      <c r="Q76" s="65"/>
      <c r="R76" s="65"/>
      <c r="S76" s="65"/>
      <c r="T76" s="65"/>
      <c r="U76" s="65"/>
      <c r="V76" s="65"/>
      <c r="W76" s="65"/>
    </row>
    <row r="77" spans="1:23" ht="12.75">
      <c r="A77" s="65"/>
      <c r="B77" s="65"/>
      <c r="C77" s="65"/>
      <c r="D77" s="65"/>
      <c r="E77" s="65"/>
      <c r="K77" s="65"/>
      <c r="L77" s="65"/>
      <c r="M77" s="65"/>
      <c r="N77" s="65"/>
      <c r="O77" s="65"/>
      <c r="P77" s="65"/>
      <c r="Q77" s="65"/>
      <c r="R77" s="65"/>
      <c r="S77" s="65"/>
      <c r="T77" s="65"/>
      <c r="U77" s="65"/>
      <c r="V77" s="65"/>
      <c r="W77" s="65"/>
    </row>
    <row r="78" spans="1:23" ht="12.75">
      <c r="A78" s="65"/>
      <c r="B78" s="65"/>
      <c r="C78" s="65"/>
      <c r="D78" s="65"/>
      <c r="E78" s="65"/>
      <c r="K78" s="65"/>
      <c r="L78" s="65"/>
      <c r="M78" s="65"/>
      <c r="N78" s="65"/>
      <c r="O78" s="65"/>
      <c r="P78" s="65"/>
      <c r="Q78" s="65"/>
      <c r="R78" s="65"/>
      <c r="S78" s="65"/>
      <c r="T78" s="65"/>
      <c r="U78" s="65"/>
      <c r="V78" s="65"/>
      <c r="W78" s="65"/>
    </row>
    <row r="79" spans="1:23" ht="12.75">
      <c r="A79" s="65"/>
      <c r="B79" s="65"/>
      <c r="C79" s="65"/>
      <c r="D79" s="65"/>
      <c r="E79" s="65"/>
      <c r="K79" s="65"/>
      <c r="L79" s="65"/>
      <c r="M79" s="65"/>
      <c r="N79" s="65"/>
      <c r="O79" s="65"/>
      <c r="P79" s="65"/>
      <c r="Q79" s="65"/>
      <c r="R79" s="65"/>
      <c r="S79" s="65"/>
      <c r="T79" s="65"/>
      <c r="U79" s="65"/>
      <c r="V79" s="65"/>
      <c r="W79" s="65"/>
    </row>
    <row r="80" spans="1:23" ht="12.75">
      <c r="A80" s="60"/>
      <c r="B80" s="60"/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60"/>
      <c r="T80" s="65"/>
      <c r="U80" s="65"/>
      <c r="V80" s="65"/>
      <c r="W80" s="60"/>
    </row>
    <row r="81" spans="1:23" ht="12.75">
      <c r="A81" s="65"/>
      <c r="B81" s="65"/>
      <c r="C81" s="65"/>
      <c r="D81" s="65"/>
      <c r="E81" s="65"/>
      <c r="K81" s="65"/>
      <c r="L81" s="65"/>
      <c r="M81" s="65"/>
      <c r="N81" s="65"/>
      <c r="O81" s="65"/>
      <c r="P81" s="65"/>
      <c r="Q81" s="65"/>
      <c r="R81" s="65"/>
      <c r="S81" s="65"/>
      <c r="T81" s="65"/>
      <c r="U81" s="65"/>
      <c r="V81" s="65"/>
      <c r="W81" s="65"/>
    </row>
    <row r="82" spans="1:23" ht="12.75">
      <c r="A82" s="65"/>
      <c r="B82" s="65"/>
      <c r="C82" s="65"/>
      <c r="D82" s="65"/>
      <c r="E82" s="65"/>
      <c r="K82" s="65"/>
      <c r="L82" s="65"/>
      <c r="M82" s="65"/>
      <c r="N82" s="65"/>
      <c r="O82" s="65"/>
      <c r="P82" s="65"/>
      <c r="Q82" s="65"/>
      <c r="R82" s="65"/>
      <c r="S82" s="65"/>
      <c r="T82" s="65"/>
      <c r="U82" s="65"/>
      <c r="V82" s="65"/>
      <c r="W82" s="65"/>
    </row>
  </sheetData>
  <sheetProtection/>
  <printOptions/>
  <pageMargins left="0.75" right="0.75" top="1" bottom="1" header="0.5" footer="0.5"/>
  <pageSetup fitToHeight="1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Z4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4.7109375" style="33" customWidth="1"/>
    <col min="2" max="2" width="10.7109375" style="33" customWidth="1"/>
    <col min="3" max="3" width="11.421875" style="33" bestFit="1" customWidth="1"/>
    <col min="4" max="4" width="11.421875" style="84" bestFit="1" customWidth="1"/>
    <col min="5" max="10" width="11.421875" style="84" customWidth="1"/>
    <col min="11" max="11" width="10.421875" style="33" customWidth="1"/>
    <col min="12" max="18" width="10.7109375" style="33" customWidth="1"/>
    <col min="19" max="16384" width="9.140625" style="33" customWidth="1"/>
  </cols>
  <sheetData>
    <row r="1" spans="1:18" ht="13.5" thickBot="1">
      <c r="A1" s="34" t="s">
        <v>92</v>
      </c>
      <c r="B1" s="17" t="s">
        <v>182</v>
      </c>
      <c r="C1" s="174" t="s">
        <v>183</v>
      </c>
      <c r="D1" s="55" t="s">
        <v>177</v>
      </c>
      <c r="E1" s="31">
        <v>44896</v>
      </c>
      <c r="F1" s="18">
        <v>44531</v>
      </c>
      <c r="G1" s="18">
        <v>44166</v>
      </c>
      <c r="H1" s="18">
        <v>43800</v>
      </c>
      <c r="I1" s="18">
        <v>43435</v>
      </c>
      <c r="J1" s="18">
        <v>43070</v>
      </c>
      <c r="K1" s="18">
        <v>42705</v>
      </c>
      <c r="L1" s="57">
        <v>42339</v>
      </c>
      <c r="M1" s="57">
        <v>41974</v>
      </c>
      <c r="N1" s="57">
        <v>41609</v>
      </c>
      <c r="O1" s="57">
        <v>41244</v>
      </c>
      <c r="P1" s="57">
        <v>40878</v>
      </c>
      <c r="Q1" s="57">
        <v>40513</v>
      </c>
      <c r="R1" s="58">
        <v>40148</v>
      </c>
    </row>
    <row r="2" spans="1:19" ht="12.75">
      <c r="A2" s="137" t="s">
        <v>145</v>
      </c>
      <c r="B2" s="138">
        <f>(E2-F2)/F2</f>
        <v>0</v>
      </c>
      <c r="C2" s="153">
        <f>E2-'[1]EU variety'!C2</f>
        <v>-10000</v>
      </c>
      <c r="D2" s="149">
        <f>F2-'[1]EU variety'!D2</f>
        <v>-10000</v>
      </c>
      <c r="E2" s="206">
        <f>Italy!E$2</f>
        <v>25000</v>
      </c>
      <c r="F2" s="149">
        <f>Italy!F$2</f>
        <v>25000</v>
      </c>
      <c r="G2" s="149">
        <f>Italy!G$2</f>
        <v>25000</v>
      </c>
      <c r="H2" s="149">
        <f>Italy!H$2</f>
        <v>25000</v>
      </c>
      <c r="I2" s="152">
        <v>25000</v>
      </c>
      <c r="J2" s="152">
        <v>18000</v>
      </c>
      <c r="K2" s="152">
        <f>Italy!K$2</f>
        <v>20000</v>
      </c>
      <c r="L2" s="152">
        <f>Italy!L$2</f>
        <v>20000</v>
      </c>
      <c r="M2" s="152">
        <f>Italy!M$2</f>
        <v>27000</v>
      </c>
      <c r="N2" s="152">
        <f>Italy!N$2</f>
        <v>0</v>
      </c>
      <c r="O2" s="152">
        <f>Italy!O$2</f>
        <v>33521.62733001784</v>
      </c>
      <c r="P2" s="152">
        <f>Italy!P$2</f>
        <v>20048.692952691636</v>
      </c>
      <c r="Q2" s="152">
        <f>Italy!Q$2</f>
        <v>20000</v>
      </c>
      <c r="R2" s="105">
        <f>Italy!R$2</f>
        <v>20000</v>
      </c>
      <c r="S2" s="99"/>
    </row>
    <row r="3" spans="1:19" ht="12.75">
      <c r="A3" s="37" t="s">
        <v>3</v>
      </c>
      <c r="B3" s="38">
        <f>(E3-F3)/F3</f>
        <v>-0.1331981276252174</v>
      </c>
      <c r="C3" s="154">
        <f>E3-'[1]EU variety'!C3</f>
        <v>-6174.935866924472</v>
      </c>
      <c r="D3" s="71">
        <f>F3-'[1]EU variety'!D3</f>
        <v>-4924.975113222299</v>
      </c>
      <c r="E3" s="39">
        <f>Austria!E$3+Belgium!E$2+Denmark!E$2+France!E$4+Germany!E$2+Switzerland!E$2+Netherlands!E$2+Poland!E$2</f>
        <v>25050.333333333336</v>
      </c>
      <c r="F3" s="71">
        <f>Austria!F$3+Belgium!F$2+Denmark!F$2+France!F$4+Germany!F$2+Switzerland!F$2+Netherlands!F$2+Poland!F$2</f>
        <v>28899.722222222223</v>
      </c>
      <c r="G3" s="71">
        <f>Austria!G$3+Belgium!G$2+Denmark!G$2+France!G$4+Germany!G$2+Switzerland!G$2+Netherlands!G$2+Poland!G$2</f>
        <v>18028.6</v>
      </c>
      <c r="H3" s="71">
        <f>Austria!H$3+Belgium!H$2+Denmark!H$2+France!H$4+Germany!H$2+Switzerland!H$2+Netherlands!H$2+Poland!H$2</f>
        <v>20335</v>
      </c>
      <c r="I3" s="71">
        <v>30758.191</v>
      </c>
      <c r="J3" s="71">
        <v>8976</v>
      </c>
      <c r="K3" s="71">
        <f>Austria!K$3+Belgium!K$2+Denmark!K$2+France!K$4+Germany!K$2+Switzerland!K$2+Netherlands!K$2+Poland!K$2</f>
        <v>30416.36</v>
      </c>
      <c r="L3" s="71">
        <f>Austria!L$3+Belgium!L$2+Denmark!L$2+France!L$4+Germany!L$2+Switzerland!L$2+Netherlands!L$2+Poland!L$2</f>
        <v>29835.08</v>
      </c>
      <c r="M3" s="71">
        <f>Austria!M$3+Belgium!M$2+Denmark!M$2+France!M$4+Germany!M$2+Switzerland!M$2+Netherlands!M$2+Poland!M$2</f>
        <v>33676</v>
      </c>
      <c r="N3" s="71">
        <f>Austria!N$3+Belgium!N$2+Denmark!N$2+France!N$4+Germany!N$2+Switzerland!N$2+Netherlands!N$2+Poland!N$2</f>
        <v>24966</v>
      </c>
      <c r="O3" s="71">
        <f>Austria!O$3+Belgium!O$2+Denmark!O$2+France!O$4+Germany!O$2+Switzerland!O$2+Netherlands!O$2+Poland!O$2</f>
        <v>22051</v>
      </c>
      <c r="P3" s="71">
        <f>Austria!P$3+Belgium!P$2+Denmark!P$2+France!P$4+Germany!P$2+Switzerland!P$2+Netherlands!P$2+Poland!P$2</f>
        <v>27266</v>
      </c>
      <c r="Q3" s="71">
        <f>Austria!Q$3+Belgium!Q$2+Denmark!Q$2+France!Q$4+Germany!Q$2+Switzerland!Q$2+Netherlands!Q$2+Poland!Q$2</f>
        <v>23558</v>
      </c>
      <c r="R3" s="72">
        <f>Austria!R$3+Belgium!R$2+Denmark!R$2+France!R$4+Germany!R$2+Switzerland!R$2+Netherlands!R$2+Poland!R$2</f>
        <v>36854</v>
      </c>
      <c r="S3" s="36"/>
    </row>
    <row r="4" spans="1:18" ht="12.75">
      <c r="A4" s="37" t="s">
        <v>10</v>
      </c>
      <c r="B4" s="38">
        <f>(E4-F4)/F4</f>
        <v>0.022989785740981948</v>
      </c>
      <c r="C4" s="154">
        <f>E4-'[1]EU variety'!C4</f>
        <v>-6011.300777124285</v>
      </c>
      <c r="D4" s="71">
        <f>F4-'[1]EU variety'!D4</f>
        <v>-9522.030429293736</v>
      </c>
      <c r="E4" s="39">
        <f>Austria!E$4+France!E$5+Germany!E$3+Italy!E$3+Switzerland!E$3+UK!E$2+'Czech Republic'!E$2</f>
        <v>121417.96443101343</v>
      </c>
      <c r="F4" s="71">
        <f>Austria!F$4+France!F$5+Germany!F$3+Italy!F$3+Switzerland!F$3+UK!F$2+'Czech Republic'!F$2</f>
        <v>118689.32234065933</v>
      </c>
      <c r="G4" s="71">
        <f>Austria!G$4+France!G$5+Germany!G$3+Italy!G$3+Switzerland!G$3+UK!G$2+'Czech Republic'!G$2</f>
        <v>124035.49599999998</v>
      </c>
      <c r="H4" s="71">
        <f>Austria!H$4+France!H$5+Germany!H$3+Italy!H$3+Switzerland!H$3+UK!H$2+'Czech Republic'!H$2</f>
        <v>144483</v>
      </c>
      <c r="I4" s="71">
        <v>156153</v>
      </c>
      <c r="J4" s="71">
        <v>117993</v>
      </c>
      <c r="K4" s="71">
        <f>Austria!K$4+France!K$5+Germany!K$3+Italy!K$3+Switzerland!K$3+UK!K$2+'Czech Republic'!K2</f>
        <v>152804.22</v>
      </c>
      <c r="L4" s="71">
        <f>Austria!L$4+France!L$5+Germany!L$3+Italy!L$3+Switzerland!L$3+UK!L$2+'Czech Republic'!L2</f>
        <v>194811.04</v>
      </c>
      <c r="M4" s="71">
        <f>Austria!M$4+France!M$5+Germany!M$3+Italy!M$3+Switzerland!M$3+UK!M$2+'Czech Republic'!M2</f>
        <v>193718.16</v>
      </c>
      <c r="N4" s="71">
        <f>Austria!N$4+France!N$5+Germany!N$3+Italy!N$3+Switzerland!N$3+UK!N$2+'Czech Republic'!N2</f>
        <v>186588</v>
      </c>
      <c r="O4" s="71">
        <f>Austria!O$4+France!O$5+Germany!O$3+Italy!O$3+Switzerland!O$3+UK!O$2+'Czech Republic'!O2</f>
        <v>152197.344651172</v>
      </c>
      <c r="P4" s="71">
        <f>Austria!P$4+France!P$5+Germany!P$3+Italy!P$3+Switzerland!P$3+UK!P$2+'Czech Republic'!P2</f>
        <v>189391.6600789623</v>
      </c>
      <c r="Q4" s="71">
        <f>Austria!Q$4+France!Q$5+Germany!Q$3+Italy!Q$3+Switzerland!Q$3+UK!Q$2+'Czech Republic'!Q2</f>
        <v>183593</v>
      </c>
      <c r="R4" s="72">
        <f>Austria!R$4+France!R$5+Germany!R$3+Italy!R$3+Switzerland!R$3+UK!R$2+'Czech Republic'!R2</f>
        <v>201977</v>
      </c>
    </row>
    <row r="5" spans="1:18" ht="12.75">
      <c r="A5" s="37" t="s">
        <v>35</v>
      </c>
      <c r="B5" s="38"/>
      <c r="C5" s="154">
        <f>E5-'[1]EU variety'!C5</f>
        <v>0</v>
      </c>
      <c r="D5" s="71">
        <f>F5-'[1]EU variety'!D5</f>
        <v>0</v>
      </c>
      <c r="E5" s="39">
        <f>UK!E$3</f>
        <v>0</v>
      </c>
      <c r="F5" s="71">
        <f>UK!F$3</f>
        <v>0</v>
      </c>
      <c r="G5" s="71">
        <f>UK!G$3</f>
        <v>0</v>
      </c>
      <c r="H5" s="71">
        <f>UK!H$3</f>
        <v>0</v>
      </c>
      <c r="I5" s="71">
        <v>0</v>
      </c>
      <c r="J5" s="71">
        <v>49500</v>
      </c>
      <c r="K5" s="71">
        <f>UK!K$3</f>
        <v>0</v>
      </c>
      <c r="L5" s="71">
        <f>UK!L$3</f>
        <v>42000</v>
      </c>
      <c r="M5" s="71">
        <f>UK!M$3</f>
        <v>62000</v>
      </c>
      <c r="N5" s="71">
        <f>UK!N$3</f>
        <v>55000</v>
      </c>
      <c r="O5" s="71">
        <f>UK!O$3</f>
        <v>31000</v>
      </c>
      <c r="P5" s="71">
        <f>UK!P$3</f>
        <v>62000</v>
      </c>
      <c r="Q5" s="71">
        <f>UK!Q$3</f>
        <v>71000</v>
      </c>
      <c r="R5" s="72">
        <f>UK!R$3</f>
        <v>62000</v>
      </c>
    </row>
    <row r="6" spans="1:18" ht="12.75">
      <c r="A6" s="37" t="s">
        <v>28</v>
      </c>
      <c r="B6" s="38"/>
      <c r="C6" s="154">
        <f>E6-'[1]EU variety'!C6</f>
        <v>0</v>
      </c>
      <c r="D6" s="71">
        <f>F6-'[1]EU variety'!D6</f>
        <v>0</v>
      </c>
      <c r="E6" s="39">
        <f>France!E6+UK!E4</f>
        <v>0</v>
      </c>
      <c r="F6" s="71">
        <f>France!F6+UK!F4</f>
        <v>0</v>
      </c>
      <c r="G6" s="71">
        <f>France!G6+UK!G4</f>
        <v>0</v>
      </c>
      <c r="H6" s="71">
        <f>France!H6+UK!H4</f>
        <v>0</v>
      </c>
      <c r="I6" s="71">
        <v>0</v>
      </c>
      <c r="J6" s="71">
        <v>0</v>
      </c>
      <c r="K6" s="71">
        <f>France!K6+UK!K4</f>
        <v>0</v>
      </c>
      <c r="L6" s="71">
        <f>France!L6+UK!L4</f>
        <v>1800</v>
      </c>
      <c r="M6" s="71">
        <f>France!M6+UK!M4</f>
        <v>0</v>
      </c>
      <c r="N6" s="71">
        <f>France!N6+UK!N4</f>
        <v>1900</v>
      </c>
      <c r="O6" s="71">
        <f>France!O6+UK!O4</f>
        <v>1800</v>
      </c>
      <c r="P6" s="71">
        <f>France!P6+UK!P4</f>
        <v>1953</v>
      </c>
      <c r="Q6" s="71">
        <f>France!Q6+UK!Q4</f>
        <v>2493</v>
      </c>
      <c r="R6" s="72">
        <f>France!R6+UK!R4</f>
        <v>5759</v>
      </c>
    </row>
    <row r="7" spans="1:18" ht="12.75">
      <c r="A7" s="37" t="s">
        <v>32</v>
      </c>
      <c r="B7" s="38"/>
      <c r="C7" s="154">
        <f>E7-'[1]EU variety'!C7</f>
        <v>0</v>
      </c>
      <c r="D7" s="71">
        <f>F7-'[1]EU variety'!D7</f>
        <v>0</v>
      </c>
      <c r="E7" s="39">
        <f>Poland!E$3</f>
        <v>0</v>
      </c>
      <c r="F7" s="71">
        <f>Poland!F$3</f>
        <v>0</v>
      </c>
      <c r="G7" s="71">
        <f>Poland!G$3</f>
        <v>0</v>
      </c>
      <c r="H7" s="71">
        <f>Poland!H$3</f>
        <v>0</v>
      </c>
      <c r="I7" s="71">
        <v>0</v>
      </c>
      <c r="J7" s="71">
        <v>0</v>
      </c>
      <c r="K7" s="71">
        <f>Poland!K$3</f>
        <v>0</v>
      </c>
      <c r="L7" s="71">
        <f>Poland!L$3</f>
        <v>0</v>
      </c>
      <c r="M7" s="71">
        <f>Poland!M$3</f>
        <v>2000</v>
      </c>
      <c r="N7" s="71">
        <f>Poland!N$3</f>
        <v>3000</v>
      </c>
      <c r="O7" s="71">
        <f>Poland!O$3</f>
        <v>7000</v>
      </c>
      <c r="P7" s="71">
        <f>Poland!P$3</f>
        <v>6000</v>
      </c>
      <c r="Q7" s="71">
        <f>Poland!Q$3</f>
        <v>15000</v>
      </c>
      <c r="R7" s="72">
        <f>Poland!R$3</f>
        <v>30000</v>
      </c>
    </row>
    <row r="8" spans="1:18" ht="12.75">
      <c r="A8" s="37" t="s">
        <v>4</v>
      </c>
      <c r="B8" s="38">
        <f aca="true" t="shared" si="0" ref="B8:B19">(E8-F8)/F8</f>
        <v>0.7153846153846154</v>
      </c>
      <c r="C8" s="154">
        <f>E8-'[1]EU variety'!C8</f>
        <v>-385</v>
      </c>
      <c r="D8" s="71">
        <f>F8-'[1]EU variety'!D8</f>
        <v>-322</v>
      </c>
      <c r="E8" s="39">
        <f>Belgium!E$3+Denmark!E$4+Germany!E$4+Switzerland!E$4+UK!E$5</f>
        <v>446</v>
      </c>
      <c r="F8" s="71">
        <f>Belgium!F$3+Denmark!F$4+Germany!F$4+Switzerland!F$4+UK!F$5</f>
        <v>260</v>
      </c>
      <c r="G8" s="71">
        <f>Belgium!G$3+Denmark!G$4+Germany!G$4+Switzerland!G$4+UK!G$5</f>
        <v>123</v>
      </c>
      <c r="H8" s="71">
        <f>Belgium!H$3+Denmark!H$4+Germany!H$4+Switzerland!H$4+UK!H$5</f>
        <v>534</v>
      </c>
      <c r="I8" s="71">
        <v>1232</v>
      </c>
      <c r="J8" s="71">
        <v>11059</v>
      </c>
      <c r="K8" s="71">
        <f>Belgium!K$3+Denmark!K$4+Germany!K$4+Switzerland!K$4+UK!K$5</f>
        <v>1004</v>
      </c>
      <c r="L8" s="71">
        <f>Belgium!L$3+Denmark!L$4+Germany!L$4+Switzerland!L$4+UK!L$5</f>
        <v>21396</v>
      </c>
      <c r="M8" s="71">
        <f>Belgium!M$3+Denmark!M$4+Germany!M$4+Switzerland!M$4+UK!M$5</f>
        <v>15046</v>
      </c>
      <c r="N8" s="71">
        <f>Belgium!N$3+Denmark!N$4+Germany!N$4+Switzerland!N$4+UK!N$5</f>
        <v>25886</v>
      </c>
      <c r="O8" s="71">
        <f>Belgium!O$3+Denmark!O$4+Germany!O$4+Switzerland!O$4+UK!O$5</f>
        <v>16371</v>
      </c>
      <c r="P8" s="71">
        <f>Belgium!P$3+Denmark!P$4+Germany!P$4+Switzerland!P$4+UK!P$5</f>
        <v>28714</v>
      </c>
      <c r="Q8" s="71">
        <f>Belgium!Q$3+Denmark!Q$4+Germany!Q$4+Switzerland!Q$4+UK!Q$5</f>
        <v>25496</v>
      </c>
      <c r="R8" s="72">
        <f>Belgium!R$3+Denmark!R$4+Germany!R$4+Switzerland!R$4+UK!R$5</f>
        <v>28158</v>
      </c>
    </row>
    <row r="9" spans="1:18" ht="12.75">
      <c r="A9" s="37" t="s">
        <v>60</v>
      </c>
      <c r="B9" s="38">
        <f t="shared" si="0"/>
        <v>0.2913331005295549</v>
      </c>
      <c r="C9" s="154">
        <f>E9-'[1]EU variety'!C9</f>
        <v>6968.682000000001</v>
      </c>
      <c r="D9" s="71">
        <f>F9-'[1]EU variety'!D9</f>
        <v>78629.99258520073</v>
      </c>
      <c r="E9" s="39">
        <f>France!E$8+Italy!E$4</f>
        <v>245393.682</v>
      </c>
      <c r="F9" s="71">
        <f>France!F$8+Italy!F$4</f>
        <v>190031.28</v>
      </c>
      <c r="G9" s="71">
        <f>France!G$8+Italy!G$4</f>
        <v>211187.51</v>
      </c>
      <c r="H9" s="71">
        <f>France!H$8+Italy!H$4</f>
        <v>209779</v>
      </c>
      <c r="I9" s="71">
        <v>202161</v>
      </c>
      <c r="J9" s="71">
        <v>178490</v>
      </c>
      <c r="K9" s="71">
        <f>France!K$8+Italy!K$4</f>
        <v>167532.8</v>
      </c>
      <c r="L9" s="71">
        <f>France!L$8+Italy!L$4</f>
        <v>161967.6</v>
      </c>
      <c r="M9" s="71">
        <f>France!M$8+Italy!M$4</f>
        <v>168499</v>
      </c>
      <c r="N9" s="71">
        <f>France!N$8+Italy!N$4</f>
        <v>130888</v>
      </c>
      <c r="O9" s="71">
        <f>France!O$8+Italy!O$4</f>
        <v>108683.90059718442</v>
      </c>
      <c r="P9" s="71">
        <f>France!P$8+Italy!P$4</f>
        <v>135510.80257874046</v>
      </c>
      <c r="Q9" s="71">
        <f>France!Q$8+Italy!Q$4</f>
        <v>112420</v>
      </c>
      <c r="R9" s="72">
        <f>France!R$8+Italy!R$4</f>
        <v>49162</v>
      </c>
    </row>
    <row r="10" spans="1:18" ht="12.75">
      <c r="A10" s="37" t="s">
        <v>1</v>
      </c>
      <c r="B10" s="38">
        <f t="shared" si="0"/>
        <v>0.24429356855165874</v>
      </c>
      <c r="C10" s="154">
        <f>E10-'[1]EU variety'!C10</f>
        <v>-39995.86307328244</v>
      </c>
      <c r="D10" s="71">
        <f>F10-'[1]EU variety'!D10</f>
        <v>-32923.344406073884</v>
      </c>
      <c r="E10" s="39">
        <f>Austria!E$5+Belgium!E$4+Denmark!E$5+France!E$9+Germany!E$5+Italy!E$5+Switzerland!E$5+Netherlands!E$3+Poland!E$4</f>
        <v>167060.67537557954</v>
      </c>
      <c r="F10" s="71">
        <f>Austria!F$5+Belgium!F$4+Denmark!F$5+France!F$9+Germany!F$5+Italy!F$5+Switzerland!F$5+Netherlands!F$3+Poland!F$4</f>
        <v>134261.46336996337</v>
      </c>
      <c r="G10" s="71">
        <f>Austria!G$5+Belgium!G$4+Denmark!G$5+France!G$9+Germany!G$5+Italy!G$5+Switzerland!G$5+Netherlands!G$3+Poland!G$4</f>
        <v>117902.8</v>
      </c>
      <c r="H10" s="71">
        <f>Austria!H$5+Belgium!H$4+Denmark!H$5+France!H$9+Germany!H$5+Italy!H$5+Switzerland!H$5+Netherlands!H$3+Poland!H$4</f>
        <v>150098</v>
      </c>
      <c r="I10" s="71">
        <v>148435.138</v>
      </c>
      <c r="J10" s="71">
        <v>108047</v>
      </c>
      <c r="K10" s="71">
        <f>Austria!K$5+Belgium!K$4+Denmark!K$5+France!K$9+Germany!K$5+Italy!K$5+Switzerland!K$5+Netherlands!K$3+Poland!K$4</f>
        <v>157702.28</v>
      </c>
      <c r="L10" s="71">
        <f>Austria!L$5+Belgium!L$4+Denmark!L$5+France!L$9+Germany!L$5+Italy!L$5+Switzerland!L$5+Netherlands!L$3+Poland!L$4</f>
        <v>177994.64</v>
      </c>
      <c r="M10" s="71">
        <f>Austria!M$5+Belgium!M$4+Denmark!M$5+France!M$9+Germany!M$5+Italy!M$5+Switzerland!M$5+Netherlands!M$3+Poland!M$4</f>
        <v>182374.12</v>
      </c>
      <c r="N10" s="71">
        <f>Austria!N$5+Belgium!N$4+Denmark!N$5+France!N$9+Germany!N$5+Italy!N$5+Switzerland!N$5+Netherlands!N$3+Poland!N$4</f>
        <v>150217</v>
      </c>
      <c r="O10" s="71">
        <f>Austria!O$5+Belgium!O$4+Denmark!O$5+France!O$9+Germany!O$5+Italy!O$5+Switzerland!O$5+Netherlands!O$3+Poland!O$4</f>
        <v>143373.08291504564</v>
      </c>
      <c r="P10" s="71">
        <f>Austria!P$5+Belgium!P$4+Denmark!P$5+France!P$9+Germany!P$5+Italy!P$5+Switzerland!P$5+Netherlands!P$3+Poland!P$4</f>
        <v>176468.32867743066</v>
      </c>
      <c r="Q10" s="71">
        <f>Austria!Q$5+Belgium!Q$4+Denmark!Q$5+France!Q$9+Germany!Q$5+Italy!Q$5+Switzerland!Q$5+Netherlands!Q$3+Poland!Q$4</f>
        <v>135968</v>
      </c>
      <c r="R10" s="72">
        <f>Austria!R$5+Belgium!R$4+Denmark!R$5+France!R$9+Germany!R$5+Italy!R$5+Switzerland!R$5+Netherlands!R$3+Poland!R$4</f>
        <v>217993.06</v>
      </c>
    </row>
    <row r="11" spans="1:18" ht="12.75">
      <c r="A11" s="37" t="s">
        <v>11</v>
      </c>
      <c r="B11" s="38">
        <f t="shared" si="0"/>
        <v>-0.03665142076932691</v>
      </c>
      <c r="C11" s="154">
        <f>E11-'[1]EU variety'!C11</f>
        <v>-12349.23033103213</v>
      </c>
      <c r="D11" s="71">
        <f>F11-'[1]EU variety'!D11</f>
        <v>17656.4455550274</v>
      </c>
      <c r="E11" s="39">
        <f>Austria!E$7+Denmark!E$6+France!E$10+Germany!E$6+Italy!E$6+Spain!E$2</f>
        <v>158961.2150788537</v>
      </c>
      <c r="F11" s="71">
        <f>Austria!F$7+Denmark!F$6+France!F$10+Germany!F$6+Italy!F$6+Spain!F$2</f>
        <v>165009.0304859323</v>
      </c>
      <c r="G11" s="71">
        <f>Austria!G$7+Denmark!G$6+France!G$10+Germany!G$6+Italy!G$6+Spain!G$2</f>
        <v>167442.6871643303</v>
      </c>
      <c r="H11" s="71">
        <f>Austria!H$7+Denmark!H$6+France!H$10+Germany!H$6+Italy!H$6+Spain!H$2</f>
        <v>177379.05948106328</v>
      </c>
      <c r="I11" s="71">
        <v>180181</v>
      </c>
      <c r="J11" s="71">
        <v>150764</v>
      </c>
      <c r="K11" s="71">
        <f>Austria!K$7+Denmark!K$6+France!K$10+Germany!K$6+Italy!K$6+Spain!K$2</f>
        <v>177142.2523305172</v>
      </c>
      <c r="L11" s="71">
        <f>Austria!L$7+Denmark!L$6+France!L$10+Germany!L$6+Italy!L$6+Spain!L$2</f>
        <v>198659.5739788347</v>
      </c>
      <c r="M11" s="71">
        <f>Austria!M$7+Denmark!M$6+France!M$10+Germany!M$6+Italy!M$6+Spain!M$2</f>
        <v>186887.57774285146</v>
      </c>
      <c r="N11" s="71">
        <f>Austria!N$7+Denmark!N$6+France!N$10+Germany!N$6+Italy!N$6+Spain!N$2</f>
        <v>185200.5378888502</v>
      </c>
      <c r="O11" s="71">
        <f>Austria!O$7+Denmark!O$6+France!O$10+Germany!O$6+Italy!O$6+Spain!O$2</f>
        <v>122542.94120919117</v>
      </c>
      <c r="P11" s="71">
        <f>Austria!P$7+Denmark!P$6+France!P$10+Germany!P$6+Italy!P$6+Spain!P$2</f>
        <v>163377.16784279092</v>
      </c>
      <c r="Q11" s="71">
        <f>Austria!Q$7+Denmark!Q$6+France!Q$10+Germany!Q$6+Italy!Q$6+Spain!Q$2</f>
        <v>163965</v>
      </c>
      <c r="R11" s="72">
        <f>Austria!R$7+Denmark!R$6+France!R$10+Germany!R$6+Italy!R$6+Spain!R$2</f>
        <v>154243.8</v>
      </c>
    </row>
    <row r="12" spans="1:18" ht="12.75">
      <c r="A12" s="37" t="s">
        <v>8</v>
      </c>
      <c r="B12" s="38">
        <f t="shared" si="0"/>
        <v>-0.174808754856134</v>
      </c>
      <c r="C12" s="154">
        <f>E12-'[1]EU variety'!C12</f>
        <v>56843.78970446455</v>
      </c>
      <c r="D12" s="71">
        <f>F12-'[1]EU variety'!D12</f>
        <v>103977.49880446523</v>
      </c>
      <c r="E12" s="39">
        <f>Austria!E$8+'Czech Republic'!E$3+Denmark!E$7+France!E$11+Germany!E$7+Italy!E$7+Spain!E$3+Switzerland!E$6+UK!E$6+Poland!E$5</f>
        <v>483399.2748676709</v>
      </c>
      <c r="F12" s="71">
        <f>Austria!F$8+'Czech Republic'!F$3+Denmark!F$7+France!F$11+Germany!F$7+Italy!F$7+Spain!F$3+Switzerland!F$6+UK!F$6+Poland!F$5</f>
        <v>585802.7187181243</v>
      </c>
      <c r="G12" s="71">
        <f>Austria!G$8+'Czech Republic'!G$3+Denmark!G$7+France!G$11+Germany!G$7+Italy!G$7+Spain!G$3+Switzerland!G$6+UK!G$6+Poland!G$5</f>
        <v>500308.06432320515</v>
      </c>
      <c r="H12" s="71">
        <f>Austria!H$8+'Czech Republic'!H$3+Denmark!H$7+France!H$11+Germany!H$7+Italy!H$7+Spain!H$3+Switzerland!H$6+UK!H$6+Poland!H$5</f>
        <v>493023.3979333094</v>
      </c>
      <c r="I12" s="71">
        <v>492377</v>
      </c>
      <c r="J12" s="71">
        <v>388609</v>
      </c>
      <c r="K12" s="71">
        <f>Austria!K$8+'Czech Republic'!K$3+Denmark!K$7+France!K$11+Germany!K$7+Italy!K$7+Spain!K$3+Switzerland!K$6+UK!K$6+Poland!K$5</f>
        <v>391028.4732814739</v>
      </c>
      <c r="L12" s="71">
        <f>Austria!L$8+'Czech Republic'!L$3+Denmark!L$7+France!L$11+Germany!L$7+Italy!L$7+Spain!L$3+Switzerland!L$6+UK!L$6+Poland!L$5</f>
        <v>420750.2317048056</v>
      </c>
      <c r="M12" s="71">
        <f>Austria!M$8+'Czech Republic'!M$3+Denmark!M$7+France!M$11+Germany!M$7+Italy!M$7+Spain!M$3+Switzerland!M$6+UK!M$6+Poland!M$5</f>
        <v>394981.40169797046</v>
      </c>
      <c r="N12" s="71">
        <f>Austria!N$8+'Czech Republic'!N$3+Denmark!N$7+France!N$11+Germany!N$7+Italy!N$7+Spain!N$3+Switzerland!N$6+UK!N$6+Poland!N$5</f>
        <v>392569.9426604443</v>
      </c>
      <c r="O12" s="71">
        <f>Austria!O$8+'Czech Republic'!O$3+Denmark!O$7+France!O$11+Germany!O$7+Italy!O$7+Spain!O$3+Switzerland!O$6+UK!O$6+Poland!O$5</f>
        <v>300189.6420813643</v>
      </c>
      <c r="P12" s="71">
        <f>Austria!P$8+'Czech Republic'!P$3+Denmark!P$7+France!P$11+Germany!P$7+Italy!P$7+Spain!P$3+Switzerland!P$6+UK!P$6+Poland!P$5</f>
        <v>344280.71936337167</v>
      </c>
      <c r="Q12" s="71">
        <f>Austria!Q$8+'Czech Republic'!Q$3+Denmark!Q$7+France!Q$11+Germany!Q$7+Italy!Q$7+Spain!Q$3+Switzerland!Q$6+UK!Q$6+Poland!Q$5</f>
        <v>355528</v>
      </c>
      <c r="R12" s="72">
        <f>Austria!R$8+'Czech Republic'!R$3+Denmark!R$7+France!R$11+Germany!R$7+Italy!R$7+Spain!R$3+Switzerland!R$6+UK!R$6+Poland!R$5</f>
        <v>340599.79</v>
      </c>
    </row>
    <row r="13" spans="1:18" ht="12.75">
      <c r="A13" s="37" t="s">
        <v>13</v>
      </c>
      <c r="B13" s="38">
        <f t="shared" si="0"/>
        <v>-0.6630676721703598</v>
      </c>
      <c r="C13" s="154">
        <f>E13-'[1]EU variety'!C13</f>
        <v>30202</v>
      </c>
      <c r="D13" s="71">
        <f>F13-'[1]EU variety'!D13</f>
        <v>90033</v>
      </c>
      <c r="E13" s="39">
        <f>Austria!E$9+Belgium!E$5+'Czech Republic'!E$4+Denmark!E$8+Germany!E$8+Italy!E$8+Poland!E$6</f>
        <v>30426</v>
      </c>
      <c r="F13" s="71">
        <f>Austria!F$9+Belgium!F$5+'Czech Republic'!F$4+Denmark!F$8+Germany!F$8+Italy!F$8+Poland!F$6</f>
        <v>90303</v>
      </c>
      <c r="G13" s="71">
        <f>Austria!G$9+Belgium!G$5+'Czech Republic'!G$4+Denmark!G$8+Germany!G$8+Italy!G$8+Poland!G$6</f>
        <v>76431</v>
      </c>
      <c r="H13" s="71">
        <f>Austria!H$9+Belgium!H$5+'Czech Republic'!H$4+Denmark!H$8+Germany!H$8+Italy!H$8+Poland!H$6</f>
        <v>80356</v>
      </c>
      <c r="I13" s="71">
        <v>97443</v>
      </c>
      <c r="J13" s="71">
        <v>96051</v>
      </c>
      <c r="K13" s="71">
        <f>Austria!K$9+Belgium!K$5+'Czech Republic'!K$4+Denmark!K$8+Germany!K$8+Italy!K$8+Poland!K$6</f>
        <v>102454</v>
      </c>
      <c r="L13" s="71">
        <f>Austria!L$9+Belgium!L$5+'Czech Republic'!L$4+Denmark!L$8+Germany!L$8+Italy!L$8+Poland!L$6</f>
        <v>102799</v>
      </c>
      <c r="M13" s="71">
        <f>Austria!M$9+Belgium!M$5+'Czech Republic'!M$4+Denmark!M$8+Germany!M$8+Italy!M$8+Poland!M$6</f>
        <v>105393</v>
      </c>
      <c r="N13" s="71">
        <f>Austria!N$9+Belgium!N$5+'Czech Republic'!N$4+Denmark!N$8+Germany!N$8+Italy!N$8+Poland!N$6</f>
        <v>104599</v>
      </c>
      <c r="O13" s="71">
        <f>Austria!O$9+Belgium!O$5+'Czech Republic'!O$4+Denmark!O$8+Germany!O$8+Italy!O$8+Poland!O$6</f>
        <v>107428.19961029508</v>
      </c>
      <c r="P13" s="71">
        <f>Austria!P$9+Belgium!P$5+'Czech Republic'!P$4+Denmark!P$8+Germany!P$8+Italy!P$8+Poland!P$6</f>
        <v>90656.11199379119</v>
      </c>
      <c r="Q13" s="71">
        <f>Austria!Q$9+Belgium!Q$5+'Czech Republic'!Q$4+Denmark!Q$8+Germany!Q$8+Italy!Q$8+Poland!Q$6</f>
        <v>39756</v>
      </c>
      <c r="R13" s="72">
        <f>Austria!R$9+Belgium!R$5+'Czech Republic'!R$4+Denmark!R$8+Germany!R$8+Italy!R$8+Poland!R$6</f>
        <v>35852.75</v>
      </c>
    </row>
    <row r="14" spans="1:18" ht="12.75">
      <c r="A14" s="37" t="s">
        <v>2</v>
      </c>
      <c r="B14" s="38">
        <f t="shared" si="0"/>
        <v>-0.18643649919833333</v>
      </c>
      <c r="C14" s="154">
        <f>E14-'[1]EU variety'!C14</f>
        <v>135867.40289942047</v>
      </c>
      <c r="D14" s="71">
        <f>F14-'[1]EU variety'!D14</f>
        <v>100429.95865527052</v>
      </c>
      <c r="E14" s="39">
        <f>Austria!E$10+Belgium!E$6+'Czech Republic'!E$5+France!E$12+Germany!E$9+Italy!E$9+Spain!E$4+Switzerland!E$8+Netherlands!E$4+Poland!E$7</f>
        <v>954777.622685184</v>
      </c>
      <c r="F14" s="71">
        <f>Austria!F$10+Belgium!F$6+'Czech Republic'!F$5+France!F$12+Germany!F$9+Italy!F$9+Spain!F$4+Switzerland!F$8+Netherlands!F$4+Poland!F$7</f>
        <v>1173574.7999318654</v>
      </c>
      <c r="G14" s="71">
        <f>Austria!G$10+Belgium!G$6+'Czech Republic'!G$5+France!G$12+Germany!G$9+Italy!G$9+Spain!G$4+Switzerland!G$8+Netherlands!G$4+Poland!G$7</f>
        <v>974408.19212685</v>
      </c>
      <c r="H14" s="71">
        <f>Austria!H$10+Belgium!H$6+'Czech Republic'!H$5+France!H$12+Germany!H$9+Italy!H$9+Spain!H$4+Switzerland!H$8+Netherlands!H$4+Poland!H$7</f>
        <v>1173279.2539928956</v>
      </c>
      <c r="I14" s="71">
        <v>1160226.358</v>
      </c>
      <c r="J14" s="71">
        <v>909613</v>
      </c>
      <c r="K14" s="71">
        <f>Austria!K$10+Belgium!K$6+'Czech Republic'!K$5+France!K$12+Germany!K$9+Italy!K$9+Spain!K$4+Switzerland!K$8+Netherlands!K$4+Poland!K$7</f>
        <v>1314858.1637050812</v>
      </c>
      <c r="L14" s="71">
        <f>Austria!L$10+Belgium!L$6+'Czech Republic'!L$5+France!L$12+Germany!L$9+Italy!L$9+Spain!L$4+Switzerland!L$8+Netherlands!L$4+Poland!L$7</f>
        <v>1335442.3434393425</v>
      </c>
      <c r="M14" s="71">
        <f>Austria!M$10+Belgium!M$6+'Czech Republic'!M$5+France!M$12+Germany!M$9+Italy!M$9+Spain!M$4+Switzerland!M$8+Netherlands!M$4+Poland!M$7</f>
        <v>1404834.9183767405</v>
      </c>
      <c r="N14" s="71">
        <f>Austria!N$10+Belgium!N$6+'Czech Republic'!N$5+France!N$12+Germany!N$9+Italy!N$9+Spain!N$4+Switzerland!N$8+Netherlands!N$4+Poland!N$7</f>
        <v>1292511.1590655383</v>
      </c>
      <c r="O14" s="71">
        <f>Austria!O$10+Belgium!O$6+'Czech Republic'!O$5+France!O$12+Germany!O$9+Italy!O$9+Spain!O$4+Switzerland!O$8+Netherlands!O$4+Poland!O$7</f>
        <v>1149090.020691004</v>
      </c>
      <c r="P14" s="71">
        <f>Austria!P$10+Belgium!P$6+'Czech Republic'!P$5+France!P$12+Germany!P$9+Italy!P$9+Spain!P$4+Switzerland!P$8+Netherlands!P$4+Poland!P$7</f>
        <v>1299556.233090925</v>
      </c>
      <c r="Q14" s="71">
        <f>Austria!Q$10+Belgium!Q$6+'Czech Republic'!Q$5+France!Q$12+Germany!Q$9+Italy!Q$9+Spain!Q$4+Switzerland!Q$8+Netherlands!Q$4+Poland!Q$7</f>
        <v>1264059</v>
      </c>
      <c r="R14" s="72">
        <f>Austria!R$10+Belgium!R$6+'Czech Republic'!R$5+France!R$12+Germany!R$9+Italy!R$9+Spain!R$4+Switzerland!R$8+Netherlands!R$4+Poland!R$7</f>
        <v>1308462.29</v>
      </c>
    </row>
    <row r="15" spans="1:18" ht="12.75">
      <c r="A15" s="37" t="s">
        <v>16</v>
      </c>
      <c r="B15" s="38">
        <f t="shared" si="0"/>
        <v>0.09109738590436138</v>
      </c>
      <c r="C15" s="154">
        <f>E15-'[1]EU variety'!C15</f>
        <v>-7863.399431116093</v>
      </c>
      <c r="D15" s="71">
        <f>F15-'[1]EU variety'!D15</f>
        <v>-9378.444782373903</v>
      </c>
      <c r="E15" s="39">
        <f>Austria!E$11+France!E$14+Italy!E$10+Spain!E$5+Switzerland!E$9+Denmark!E$9</f>
        <v>201536.3081701291</v>
      </c>
      <c r="F15" s="71">
        <f>Austria!F$11+France!F$14+Italy!F$10+Spain!F$5+Switzerland!F$9+Denmark!F$9</f>
        <v>184709.73423062943</v>
      </c>
      <c r="G15" s="71">
        <f>Austria!G$11+France!G$14+Italy!G$10+Spain!G$5+Switzerland!G$9+Denmark!G$9</f>
        <v>200701.39298359735</v>
      </c>
      <c r="H15" s="71">
        <f>Austria!H$11+France!H$14+Italy!H$10+Spain!H$5+Switzerland!H$9+Denmark!H$9</f>
        <v>180209.13792477964</v>
      </c>
      <c r="I15" s="71">
        <v>197039</v>
      </c>
      <c r="J15" s="71">
        <v>201348</v>
      </c>
      <c r="K15" s="71">
        <f>Austria!K$11+France!K$14+Italy!K$10+Spain!K$5+Switzerland!K$9</f>
        <v>176921.27023815524</v>
      </c>
      <c r="L15" s="71">
        <f>Austria!L$11+France!L$14+Italy!L$10+Spain!L$5+Switzerland!L$9</f>
        <v>209174.93969144335</v>
      </c>
      <c r="M15" s="71">
        <f>Austria!M$11+France!M$14+Italy!M$10+Spain!M$5+Switzerland!M$9</f>
        <v>202310.7686089673</v>
      </c>
      <c r="N15" s="71">
        <f>Austria!N$11+France!N$14+Italy!N$10+Spain!N$5+Switzerland!N$9</f>
        <v>199942.58674786903</v>
      </c>
      <c r="O15" s="71">
        <f>Austria!O$11+France!O$14+Italy!O$10+Spain!O$5+Switzerland!O$9</f>
        <v>132081.69403624372</v>
      </c>
      <c r="P15" s="71">
        <f>Austria!P$11+France!P$14+Italy!P$10+Spain!P$5+Switzerland!P$9</f>
        <v>177133.67660738155</v>
      </c>
      <c r="Q15" s="71">
        <f>Austria!Q$11+France!Q$14+Italy!Q$10+Spain!Q$5+Switzerland!Q$9</f>
        <v>163435</v>
      </c>
      <c r="R15" s="72">
        <f>Austria!R$11+France!R$14+Italy!R$10+Spain!R$5+Switzerland!R$9</f>
        <v>166516.37</v>
      </c>
    </row>
    <row r="16" spans="1:18" ht="12.75">
      <c r="A16" s="37" t="s">
        <v>14</v>
      </c>
      <c r="B16" s="38">
        <f t="shared" si="0"/>
        <v>0.19008264462809918</v>
      </c>
      <c r="C16" s="154">
        <f>E16-'[1]EU variety'!C16</f>
        <v>-997</v>
      </c>
      <c r="D16" s="71">
        <f>F16-'[1]EU variety'!D16</f>
        <v>-1103</v>
      </c>
      <c r="E16" s="39">
        <f>Denmark!E$10+Germany!E$10</f>
        <v>2736</v>
      </c>
      <c r="F16" s="71">
        <f>Denmark!F$10+Germany!F$10</f>
        <v>2299</v>
      </c>
      <c r="G16" s="71">
        <f>Denmark!G$10+Germany!G$10</f>
        <v>3098</v>
      </c>
      <c r="H16" s="71">
        <f>Denmark!H$10+Germany!H$10</f>
        <v>4363</v>
      </c>
      <c r="I16" s="71">
        <v>4155</v>
      </c>
      <c r="J16" s="71">
        <v>1154</v>
      </c>
      <c r="K16" s="71">
        <f>Denmark!K$10+Germany!K$10</f>
        <v>4364</v>
      </c>
      <c r="L16" s="71">
        <f>Denmark!L$10+Germany!L$10</f>
        <v>5991</v>
      </c>
      <c r="M16" s="71">
        <f>Denmark!M$10+Germany!M$10</f>
        <v>4738</v>
      </c>
      <c r="N16" s="71">
        <f>Denmark!N$10+Germany!N$10</f>
        <v>1563</v>
      </c>
      <c r="O16" s="71">
        <f>Denmark!O$10+Germany!O$10</f>
        <v>2558</v>
      </c>
      <c r="P16" s="71">
        <f>Denmark!P$10+Germany!P$10</f>
        <v>5741</v>
      </c>
      <c r="Q16" s="71">
        <f>Denmark!Q$10+Germany!Q$10</f>
        <v>5666</v>
      </c>
      <c r="R16" s="72">
        <f>Denmark!R$10+Germany!R$10</f>
        <v>7432</v>
      </c>
    </row>
    <row r="17" spans="1:19" ht="12.75">
      <c r="A17" s="37" t="s">
        <v>9</v>
      </c>
      <c r="B17" s="38">
        <f t="shared" si="0"/>
        <v>-0.24480949173400415</v>
      </c>
      <c r="C17" s="154">
        <f>E17-'[1]EU variety'!C17</f>
        <v>232618.67920342568</v>
      </c>
      <c r="D17" s="71">
        <f>F17-'[1]EU variety'!D17</f>
        <v>311521.9648024902</v>
      </c>
      <c r="E17" s="39">
        <f>Austria!E$12+'Czech Republic'!E$6+Denmark!E$11+France!E$16+Germany!E$11+Italy!E$11+Switzerland!E$10+Poland!E$8</f>
        <v>247770.6166056166</v>
      </c>
      <c r="F17" s="71">
        <f>Austria!F$12+'Czech Republic'!F$6+Denmark!F$11+France!F$16+Germany!F$11+Italy!F$11+Switzerland!F$10+Poland!F$8</f>
        <v>328090.2155067155</v>
      </c>
      <c r="G17" s="71">
        <f>Austria!G$12+'Czech Republic'!G$6+Denmark!G$11+France!G$16+Germany!G$11+Italy!G$11+Switzerland!G$10+Poland!G$8</f>
        <v>271211.5</v>
      </c>
      <c r="H17" s="71">
        <f>Austria!H$12+'Czech Republic'!H$6+Denmark!H$11+France!H$16+Germany!H$11+Italy!H$11+Switzerland!H$10+Poland!H$8</f>
        <v>228528</v>
      </c>
      <c r="I17" s="71">
        <v>385079</v>
      </c>
      <c r="J17" s="71">
        <v>203472</v>
      </c>
      <c r="K17" s="71">
        <f>Austria!K$12+'Czech Republic'!K$6+Denmark!K$11+France!K$16+Germany!K$11+Italy!K$11+Switzerland!K$10+Poland!K$8</f>
        <v>352135.52</v>
      </c>
      <c r="L17" s="71">
        <f>Austria!L$12+'Czech Republic'!L$6+Denmark!L$11+France!L$16+Germany!L$11+Italy!L$11+Switzerland!L$10+Poland!L$8</f>
        <v>419280.42</v>
      </c>
      <c r="M17" s="71">
        <f>Austria!M$12+'Czech Republic'!M$6+Denmark!M$11+France!M$16+Germany!M$11+Italy!M$11+Switzerland!M$10+Poland!M$8</f>
        <v>392405.96</v>
      </c>
      <c r="N17" s="71">
        <f>Austria!N$12+'Czech Republic'!N$6+Denmark!N$11+France!N$16+Germany!N$11+Italy!N$11+Switzerland!N$10+Poland!N$8</f>
        <v>358207</v>
      </c>
      <c r="O17" s="71">
        <f>Austria!O$12+'Czech Republic'!O$6+Denmark!O$11+France!O$16+Germany!O$11+Italy!O$11+Switzerland!O$10+Poland!O$8</f>
        <v>329886.2892597587</v>
      </c>
      <c r="P17" s="71">
        <f>Austria!P$12+'Czech Republic'!P$6+Denmark!P$11+France!P$16+Germany!P$11+Italy!P$11+Switzerland!P$10+Poland!P$8</f>
        <v>276888.0689363752</v>
      </c>
      <c r="Q17" s="71">
        <f>Austria!Q$12+'Czech Republic'!Q$6+Denmark!Q$11+France!Q$16+Germany!Q$11+Italy!Q$11+Switzerland!Q$10+Poland!Q$8</f>
        <v>164328</v>
      </c>
      <c r="R17" s="72">
        <f>Austria!R$12+'Czech Republic'!R$6+Denmark!R$11+France!R$16+Germany!R$11+Italy!R$11+Switzerland!R$10+Poland!R$8</f>
        <v>195528.9</v>
      </c>
      <c r="S17" s="85"/>
    </row>
    <row r="18" spans="1:19" ht="12.75">
      <c r="A18" s="37" t="s">
        <v>26</v>
      </c>
      <c r="B18" s="38">
        <f t="shared" si="0"/>
        <v>-0.23668507527582702</v>
      </c>
      <c r="C18" s="154">
        <f>E18-'[1]EU variety'!C18</f>
        <v>52591.29123338428</v>
      </c>
      <c r="D18" s="71">
        <f>F18-'[1]EU variety'!D18</f>
        <v>78037.68866944077</v>
      </c>
      <c r="E18" s="39">
        <f>Austria!E$13+Belgium!E$7+'Czech Republic'!E$7+Denmark!E$13+France!E$18+Germany!E$13+Italy!E$12+Switzerland!E$11+Netherlands!E$5+UK!E$7+Poland!E$9</f>
        <v>226203.9292792508</v>
      </c>
      <c r="F18" s="71">
        <f>Austria!F$13+Belgium!F$7+'Czech Republic'!F$7+Denmark!F$13+France!F$18+Germany!F$13+Italy!F$12+Switzerland!F$11+Netherlands!F$5+UK!F$7+Poland!F$9</f>
        <v>296344.1719169719</v>
      </c>
      <c r="G18" s="71">
        <f>Austria!G$13+Belgium!G$7+'Czech Republic'!G$7+Denmark!G$13+France!G$18+Germany!G$13+Italy!G$12+Switzerland!G$11+Netherlands!G$5+UK!G$7+Poland!G$9</f>
        <v>243953.3</v>
      </c>
      <c r="H18" s="71">
        <f>Austria!H$13+Belgium!H$7+'Czech Republic'!H$7+Denmark!H$13+France!H$18+Germany!H$13+Italy!H$12+Switzerland!H$11+Netherlands!H$5+UK!H$7+Poland!H$9</f>
        <v>267979</v>
      </c>
      <c r="I18" s="71">
        <v>334563.012</v>
      </c>
      <c r="J18" s="71">
        <v>147882</v>
      </c>
      <c r="K18" s="71">
        <f>Austria!K$13+Belgium!K$7+'Czech Republic'!K$7+Denmark!K$13+France!K$18+Germany!K$13+Italy!K$12+Switzerland!K$11+Netherlands!K$5+UK!K$7+Poland!K$9</f>
        <v>316682.2</v>
      </c>
      <c r="L18" s="71">
        <f>Austria!L$13+Belgium!L$7+'Czech Republic'!L$7+Denmark!L$13+France!L$18+Germany!L$13+Italy!L$12+Switzerland!L$11+Netherlands!L$5+UK!L$7+Poland!L$9</f>
        <v>351287.68</v>
      </c>
      <c r="M18" s="71">
        <f>Austria!M$13+Belgium!M$7+'Czech Republic'!M$7+Denmark!M$13+France!M$18+Germany!M$13+Italy!M$12+Switzerland!M$11+Netherlands!M$5+UK!M$7+Poland!M$9</f>
        <v>356959.36</v>
      </c>
      <c r="N18" s="71">
        <f>Austria!N$13+Belgium!N$7+'Czech Republic'!N$7+Denmark!N$13+France!N$18+Germany!N$13+Italy!N$12+Switzerland!N$11+Netherlands!N$5+UK!N$7+Poland!N$9</f>
        <v>310373</v>
      </c>
      <c r="O18" s="71">
        <f>Austria!O$13+Belgium!O$7+'Czech Republic'!O$7+Denmark!O$13+France!O$18+Germany!O$13+Italy!O$12+Switzerland!O$11+Netherlands!O$5+UK!O$7+Poland!O$9</f>
        <v>291170.03922138247</v>
      </c>
      <c r="P18" s="71">
        <f>Austria!P$13+Belgium!P$7+'Czech Republic'!P$7+Denmark!P$13+France!P$18+Germany!P$13+Italy!P$12+Switzerland!P$11+Netherlands!P$5+UK!P$7+Poland!P$9</f>
        <v>329652.02471480746</v>
      </c>
      <c r="Q18" s="71">
        <f>Austria!Q$13+Belgium!Q$7+'Czech Republic'!Q$7+Denmark!Q$13+France!Q$18+Germany!Q$13+Italy!Q$12+Switzerland!Q$11+Netherlands!Q$5+UK!Q$7+Poland!Q$9</f>
        <v>250782</v>
      </c>
      <c r="R18" s="72">
        <f>Austria!R$13+Belgium!R$7+'Czech Republic'!R$7+Denmark!R$13+France!R$18+Germany!R$13+Italy!R$12+Switzerland!R$11+Netherlands!R$5+UK!R$7+Poland!R$9</f>
        <v>388660</v>
      </c>
      <c r="S18" s="85"/>
    </row>
    <row r="19" spans="1:18" ht="12.75">
      <c r="A19" s="37" t="s">
        <v>25</v>
      </c>
      <c r="B19" s="38">
        <f t="shared" si="0"/>
        <v>-0.2524145967123283</v>
      </c>
      <c r="C19" s="154">
        <f>E19-'[1]EU variety'!C19</f>
        <v>-5891.731334985117</v>
      </c>
      <c r="D19" s="71">
        <f>F19-'[1]EU variety'!D19</f>
        <v>-7900.566211466445</v>
      </c>
      <c r="E19" s="39">
        <f>Austria!E$14+Belgium!E$8+Denmark!E$14+Germany!E$14+UK!E$8</f>
        <v>42278.944897530986</v>
      </c>
      <c r="F19" s="71">
        <f>Austria!F$14+Belgium!F$8+Denmark!F$14+Germany!F$14+UK!F$8</f>
        <v>56554</v>
      </c>
      <c r="G19" s="71">
        <f>Austria!G$14+Belgium!G$8+Denmark!G$14+Germany!G$14+UK!G$8</f>
        <v>47509</v>
      </c>
      <c r="H19" s="71">
        <f>Austria!H$14+Belgium!H$8+Denmark!H$14+Germany!H$14+UK!H$8</f>
        <v>73208</v>
      </c>
      <c r="I19" s="71">
        <v>101167</v>
      </c>
      <c r="J19" s="71">
        <v>34438</v>
      </c>
      <c r="K19" s="71">
        <f>Austria!K$14+Belgium!K$8+Denmark!K$14+Germany!K$14+UK!K$8</f>
        <v>101862.56</v>
      </c>
      <c r="L19" s="71">
        <f>Austria!L$14+Belgium!L$8+Denmark!L$14+Germany!L$14+UK!L$8</f>
        <v>115422.8</v>
      </c>
      <c r="M19" s="71">
        <f>Austria!M$14+Belgium!M$8+Denmark!M$14+Germany!M$14+UK!M$8</f>
        <v>140802.32</v>
      </c>
      <c r="N19" s="71">
        <f>Austria!N$14+Belgium!N$8+Denmark!N$14+Germany!N$14+UK!N$8</f>
        <v>97377</v>
      </c>
      <c r="O19" s="71">
        <f>Austria!O$14+Belgium!O$8+Denmark!O$14+Germany!O$14+UK!O$8</f>
        <v>117191</v>
      </c>
      <c r="P19" s="71">
        <f>Austria!P$14+Belgium!P$8+Denmark!P$14+Germany!P$14+UK!P$8</f>
        <v>121157</v>
      </c>
      <c r="Q19" s="71">
        <f>Austria!Q$14+Belgium!Q$8+Denmark!Q$14+Germany!Q$14+UK!Q$8</f>
        <v>101491</v>
      </c>
      <c r="R19" s="72">
        <f>Austria!R$14+Belgium!R$8+Denmark!R$14+Germany!R$14+UK!R$8</f>
        <v>132300</v>
      </c>
    </row>
    <row r="20" spans="1:18" ht="12.75">
      <c r="A20" s="37" t="s">
        <v>49</v>
      </c>
      <c r="B20" s="38"/>
      <c r="C20" s="154">
        <f>E20-'[1]EU variety'!C20</f>
        <v>0</v>
      </c>
      <c r="D20" s="71">
        <f>F20-'[1]EU variety'!D20</f>
        <v>0</v>
      </c>
      <c r="E20" s="39">
        <f>Italy!E$13</f>
        <v>0</v>
      </c>
      <c r="F20" s="71">
        <f>Italy!F$13</f>
        <v>0</v>
      </c>
      <c r="G20" s="71">
        <f>Italy!G$13</f>
        <v>0</v>
      </c>
      <c r="H20" s="71">
        <f>Italy!H$13</f>
        <v>0</v>
      </c>
      <c r="I20" s="71">
        <v>0</v>
      </c>
      <c r="J20" s="71">
        <v>0</v>
      </c>
      <c r="K20" s="71">
        <f>Italy!K$13</f>
        <v>0</v>
      </c>
      <c r="L20" s="71">
        <f>Italy!L$13</f>
        <v>7</v>
      </c>
      <c r="M20" s="71">
        <f>Italy!M$13</f>
        <v>8</v>
      </c>
      <c r="N20" s="71">
        <f>Italy!N$13</f>
        <v>0</v>
      </c>
      <c r="O20" s="71">
        <f>Italy!O$13</f>
        <v>1.0030709276165608</v>
      </c>
      <c r="P20" s="71">
        <f>Italy!P$13+Poland!P$10</f>
        <v>115007.01704253344</v>
      </c>
      <c r="Q20" s="71">
        <f>Italy!Q$13+Poland!Q$10</f>
        <v>1</v>
      </c>
      <c r="R20" s="72">
        <f>Italy!R$13+Poland!R$10</f>
        <v>10004.62</v>
      </c>
    </row>
    <row r="21" spans="1:18" ht="12.75">
      <c r="A21" s="37" t="s">
        <v>33</v>
      </c>
      <c r="B21" s="38"/>
      <c r="C21" s="154">
        <f>E21-'[1]EU variety'!C21</f>
        <v>0</v>
      </c>
      <c r="D21" s="71">
        <f>F21-'[1]EU variety'!D21</f>
        <v>0</v>
      </c>
      <c r="E21" s="39">
        <f>Poland!E$11</f>
        <v>0</v>
      </c>
      <c r="F21" s="71">
        <f>Poland!F$11</f>
        <v>0</v>
      </c>
      <c r="G21" s="71">
        <f>Poland!G$11</f>
        <v>0</v>
      </c>
      <c r="H21" s="71">
        <f>Poland!H$11</f>
        <v>0</v>
      </c>
      <c r="I21" s="71">
        <v>0</v>
      </c>
      <c r="J21" s="71">
        <v>0</v>
      </c>
      <c r="K21" s="71">
        <f>Poland!K$11</f>
        <v>0</v>
      </c>
      <c r="L21" s="71">
        <f>Poland!L$11</f>
        <v>0</v>
      </c>
      <c r="M21" s="71">
        <f>Poland!M$11</f>
        <v>2000</v>
      </c>
      <c r="N21" s="71">
        <f>Poland!N$11</f>
        <v>2000</v>
      </c>
      <c r="O21" s="71">
        <f>Poland!O$11</f>
        <v>5000</v>
      </c>
      <c r="P21" s="71">
        <f>Poland!P$11</f>
        <v>5000</v>
      </c>
      <c r="Q21" s="71">
        <f>Poland!Q$11</f>
        <v>30000</v>
      </c>
      <c r="R21" s="72">
        <f>Poland!R$11</f>
        <v>65000</v>
      </c>
    </row>
    <row r="22" spans="1:18" ht="12.75">
      <c r="A22" s="37" t="s">
        <v>17</v>
      </c>
      <c r="B22" s="38">
        <f aca="true" t="shared" si="1" ref="B22:B27">(E22-F22)/F22</f>
        <v>-0.05199115795483039</v>
      </c>
      <c r="C22" s="154">
        <f>E22-'[1]EU variety'!C22</f>
        <v>-2748.5381151226775</v>
      </c>
      <c r="D22" s="71">
        <f>F22-'[1]EU variety'!D22</f>
        <v>-1283.1139963982096</v>
      </c>
      <c r="E22" s="39">
        <f>Italy!E$14</f>
        <v>15639.734384752546</v>
      </c>
      <c r="F22" s="71">
        <f>Italy!F$14</f>
        <v>16497.456237868468</v>
      </c>
      <c r="G22" s="71">
        <f>Italy!G$14</f>
        <v>20586.154000000002</v>
      </c>
      <c r="H22" s="71">
        <f>Italy!H$14</f>
        <v>22074</v>
      </c>
      <c r="I22" s="71">
        <v>23355</v>
      </c>
      <c r="J22" s="71">
        <v>18463</v>
      </c>
      <c r="K22" s="71">
        <f>Italy!K$14</f>
        <v>23139.2</v>
      </c>
      <c r="L22" s="71">
        <f>Italy!L$14</f>
        <v>25805.7</v>
      </c>
      <c r="M22" s="71">
        <f>Italy!M$14</f>
        <v>31824</v>
      </c>
      <c r="N22" s="71">
        <f>Italy!N$14</f>
        <v>25616</v>
      </c>
      <c r="O22" s="71">
        <f>Italy!O$14</f>
        <v>26016.650649590734</v>
      </c>
      <c r="P22" s="71">
        <f>Italy!P$14</f>
        <v>17180.727425809095</v>
      </c>
      <c r="Q22" s="71">
        <f>Italy!Q$14</f>
        <v>46392</v>
      </c>
      <c r="R22" s="72">
        <f>Italy!R$14</f>
        <v>35343.76</v>
      </c>
    </row>
    <row r="23" spans="1:21" ht="12.75">
      <c r="A23" s="37" t="s">
        <v>12</v>
      </c>
      <c r="B23" s="38">
        <f t="shared" si="1"/>
        <v>0.014630077529757165</v>
      </c>
      <c r="C23" s="154">
        <f>E23-'[1]EU variety'!C23</f>
        <v>51782.582838587085</v>
      </c>
      <c r="D23" s="71">
        <f>F23-'[1]EU variety'!D23</f>
        <v>36607.997653184066</v>
      </c>
      <c r="E23" s="39">
        <f>Austria!E$16+Denmark!E$16+Germany!E$15+Switzerland!E$14+Poland!E$12+Italy!E$15</f>
        <v>101762.18487301588</v>
      </c>
      <c r="F23" s="71">
        <f>Austria!F$16+Denmark!F$16+Germany!F$15+Switzerland!F$14+Poland!F$12+Italy!F$15</f>
        <v>100294.86324786325</v>
      </c>
      <c r="G23" s="71">
        <f>Austria!G$16+Denmark!G$16+Germany!G$15+Switzerland!G$14+Poland!G$12+Italy!G$15</f>
        <v>88794.65</v>
      </c>
      <c r="H23" s="71">
        <f>Austria!H$16+Denmark!H$16+Germany!H$15+Switzerland!H$14+Poland!H$12+Italy!H$15</f>
        <v>57628</v>
      </c>
      <c r="I23" s="71">
        <v>86440</v>
      </c>
      <c r="J23" s="71">
        <v>29004</v>
      </c>
      <c r="K23" s="71">
        <f>Austria!K$16+Denmark!K$16+Germany!K$15+Switzerland!K$14+Poland!K$12</f>
        <v>34079.76</v>
      </c>
      <c r="L23" s="71">
        <f>Austria!L$16+Denmark!L$16+Germany!L$15+Switzerland!L$14+Poland!L$12</f>
        <v>35784.68</v>
      </c>
      <c r="M23" s="71">
        <f>Austria!M$16+Denmark!M$16+Germany!M$15+Switzerland!M$14+Poland!M$12</f>
        <v>37831.72</v>
      </c>
      <c r="N23" s="71">
        <f>Austria!N$16+Denmark!N$16+Germany!N$15+Switzerland!N$14+Poland!N$12</f>
        <v>33170</v>
      </c>
      <c r="O23" s="71">
        <f>Austria!O$16+Denmark!O$16+Germany!O$15+Switzerland!O$14+Poland!O$12</f>
        <v>47208</v>
      </c>
      <c r="P23" s="71">
        <f>Austria!P$16+Denmark!P$16+Germany!P$15+Switzerland!P$14</f>
        <v>13370</v>
      </c>
      <c r="Q23" s="71">
        <f>Austria!Q$16+Denmark!Q$16+Germany!Q$15+Switzerland!Q$14</f>
        <v>14138</v>
      </c>
      <c r="R23" s="72">
        <f>Austria!R$16+Denmark!R$16+Germany!R$15+Switzerland!R$14</f>
        <v>17608</v>
      </c>
      <c r="U23" s="85"/>
    </row>
    <row r="24" spans="1:18" ht="12.75">
      <c r="A24" s="37" t="s">
        <v>18</v>
      </c>
      <c r="B24" s="38">
        <f t="shared" si="1"/>
        <v>0.1101835169790885</v>
      </c>
      <c r="C24" s="154">
        <f>E24-'[1]EU variety'!C24</f>
        <v>38233.9312932443</v>
      </c>
      <c r="D24" s="71">
        <f>F24-'[1]EU variety'!D24</f>
        <v>17976.664805196633</v>
      </c>
      <c r="E24" s="39">
        <f>'Czech Republic'!E$8+France!E$21+Italy!E$16+Spain!E$6+Poland!E$13</f>
        <v>241183.54696056916</v>
      </c>
      <c r="F24" s="71">
        <f>'Czech Republic'!F$8+France!F$21+Italy!F$16+Spain!F$6+Poland!F$13</f>
        <v>217246.55723303457</v>
      </c>
      <c r="G24" s="71">
        <f>'Czech Republic'!G$8+France!G$21+Italy!G$16+Spain!G$6+Poland!G$13</f>
        <v>227843.4985502504</v>
      </c>
      <c r="H24" s="71">
        <f>'Czech Republic'!H$8+France!H$21+Italy!H$16+Spain!H$6+Poland!H$13</f>
        <v>221822.01151159412</v>
      </c>
      <c r="I24" s="71">
        <v>241874</v>
      </c>
      <c r="J24" s="71">
        <v>159204</v>
      </c>
      <c r="K24" s="71">
        <f>'Czech Republic'!K$8+France!K$21+Italy!K$16+Spain!K$6+Poland!K$13</f>
        <v>217181.3039240925</v>
      </c>
      <c r="L24" s="71">
        <f>'Czech Republic'!L$8+France!L$21+Italy!L$16+Spain!L$6+Poland!L$13</f>
        <v>220997.51485985468</v>
      </c>
      <c r="M24" s="71">
        <f>'Czech Republic'!M$8+France!M$21+Italy!M$16+Spain!M$6+Poland!M$13</f>
        <v>211956.25122225194</v>
      </c>
      <c r="N24" s="71">
        <f>'Czech Republic'!N$8+France!N$21+Italy!N$16+Spain!N$6+Poland!N$13</f>
        <v>195689.71700772963</v>
      </c>
      <c r="O24" s="71">
        <f>'Czech Republic'!O$8+France!O$21+Italy!O$16+Spain!O$6+Poland!O$13</f>
        <v>144847.80612303846</v>
      </c>
      <c r="P24" s="71">
        <f>'Czech Republic'!P$8+France!P$21+Italy!P$16+Spain!P$6+Poland!P$13</f>
        <v>194156.02082232918</v>
      </c>
      <c r="Q24" s="71">
        <f>'Czech Republic'!Q$8+France!Q$21+Italy!Q$16+Spain!Q$6+Poland!Q$13</f>
        <v>202759</v>
      </c>
      <c r="R24" s="72">
        <f>'Czech Republic'!R$8+France!R$21+Italy!R$16+Spain!R$6+Poland!R$13</f>
        <v>230326.8</v>
      </c>
    </row>
    <row r="25" spans="1:18" ht="12.75">
      <c r="A25" s="37" t="s">
        <v>97</v>
      </c>
      <c r="B25" s="38">
        <f t="shared" si="1"/>
        <v>0.19241965780808554</v>
      </c>
      <c r="C25" s="154">
        <f>E25-'[1]EU variety'!C25</f>
        <v>268385.4529828544</v>
      </c>
      <c r="D25" s="71">
        <f>F25-'[1]EU variety'!D25</f>
        <v>206423.12749144438</v>
      </c>
      <c r="E25" s="39">
        <f>Germany!E$16+Austria!E$17+Poland!E$14</f>
        <v>336402.3669108669</v>
      </c>
      <c r="F25" s="71">
        <f>Germany!F$16+Austria!F$17+Poland!F$14</f>
        <v>282117.42796092795</v>
      </c>
      <c r="G25" s="71">
        <f>Germany!G$16+Austria!G$17+Poland!G$14</f>
        <v>238780.1</v>
      </c>
      <c r="H25" s="71">
        <f>Germany!H$16+Austria!H$17+Poland!H$14</f>
        <v>211891</v>
      </c>
      <c r="I25" s="71">
        <v>163214</v>
      </c>
      <c r="J25" s="71">
        <v>42137</v>
      </c>
      <c r="K25" s="71">
        <f>Germany!K$16</f>
        <v>60149</v>
      </c>
      <c r="L25" s="71">
        <f>Germany!L$16</f>
        <v>37163</v>
      </c>
      <c r="M25" s="71">
        <f>Germany!M$16</f>
        <v>45161</v>
      </c>
      <c r="N25" s="71">
        <f>Germany!N$16</f>
        <v>19737</v>
      </c>
      <c r="O25" s="71">
        <f>Germany!O$16</f>
        <v>30514</v>
      </c>
      <c r="P25" s="71">
        <f>Germany!P$16</f>
        <v>23972</v>
      </c>
      <c r="Q25" s="71">
        <f>Germany!Q$16</f>
        <v>18137</v>
      </c>
      <c r="R25" s="72">
        <f>Germany!R$16</f>
        <v>21424</v>
      </c>
    </row>
    <row r="26" spans="1:104" s="100" customFormat="1" ht="13.5" thickBot="1">
      <c r="A26" s="37" t="s">
        <v>95</v>
      </c>
      <c r="B26" s="38">
        <f t="shared" si="1"/>
        <v>0.17499292390839094</v>
      </c>
      <c r="C26" s="154">
        <f>E26-'[1]EU variety'!C26</f>
        <v>-6337.232999999993</v>
      </c>
      <c r="D26" s="71">
        <f>F26-'[1]EU variety'!D26</f>
        <v>-7606.4490000000005</v>
      </c>
      <c r="E26" s="39">
        <f>France!E$19+France!E$20+Italy!E$17+Switzerland!E$12</f>
        <v>41878.092000000004</v>
      </c>
      <c r="F26" s="71">
        <f>France!F$19+France!F$20+Italy!F$17+Switzerland!F$12</f>
        <v>35641.144</v>
      </c>
      <c r="G26" s="71">
        <f>France!G$19+France!G$20+Italy!G$17+Switzerland!G$12</f>
        <v>42748.748999999996</v>
      </c>
      <c r="H26" s="71">
        <f>France!H$19+France!H$20+Italy!H$17+Switzerland!H$12</f>
        <v>33836</v>
      </c>
      <c r="I26" s="71">
        <v>42475</v>
      </c>
      <c r="J26" s="71">
        <v>20152</v>
      </c>
      <c r="K26" s="71">
        <f>France!K$19+France!K$20+Italy!K$17+Switzerland!K$12</f>
        <v>36710.2</v>
      </c>
      <c r="L26" s="71">
        <f>France!L$19+France!L$20+Italy!L$17+Switzerland!L$12</f>
        <v>35564.2</v>
      </c>
      <c r="M26" s="71">
        <f>France!M$19+France!M$20+Italy!M$17+Switzerland!M$12</f>
        <v>36167</v>
      </c>
      <c r="N26" s="71">
        <f>France!N$19+France!N$20+Italy!N$17+Switzerland!N$12</f>
        <v>57744</v>
      </c>
      <c r="O26" s="71">
        <f>France!O$19+France!O$20+Italy!O$17+Switzerland!O$12</f>
        <v>5552</v>
      </c>
      <c r="P26" s="71">
        <f>France!P$19+France!P$20+Italy!P$17+Switzerland!P$12</f>
        <v>35154.80776918103</v>
      </c>
      <c r="Q26" s="71">
        <f>France!Q$19+France!Q$20+Italy!Q$17+Switzerland!Q$12</f>
        <v>33059</v>
      </c>
      <c r="R26" s="72">
        <f>France!R$19+France!R$20+Italy!R$17+Switzerland!R$12</f>
        <v>31754</v>
      </c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59"/>
      <c r="BA26" s="59"/>
      <c r="BB26" s="59"/>
      <c r="BC26" s="59"/>
      <c r="BD26" s="59"/>
      <c r="BE26" s="59"/>
      <c r="BF26" s="59"/>
      <c r="BG26" s="59"/>
      <c r="BH26" s="59"/>
      <c r="BI26" s="59"/>
      <c r="BJ26" s="59"/>
      <c r="BK26" s="59"/>
      <c r="BL26" s="59"/>
      <c r="BM26" s="59"/>
      <c r="BN26" s="59"/>
      <c r="BO26" s="59"/>
      <c r="BP26" s="59"/>
      <c r="BQ26" s="59"/>
      <c r="BR26" s="59"/>
      <c r="BS26" s="59"/>
      <c r="BT26" s="59"/>
      <c r="BU26" s="59"/>
      <c r="BV26" s="59"/>
      <c r="BW26" s="59"/>
      <c r="BX26" s="59"/>
      <c r="BY26" s="59"/>
      <c r="BZ26" s="59"/>
      <c r="CA26" s="59"/>
      <c r="CB26" s="59"/>
      <c r="CC26" s="59"/>
      <c r="CD26" s="59"/>
      <c r="CE26" s="59"/>
      <c r="CF26" s="59"/>
      <c r="CG26" s="59"/>
      <c r="CH26" s="59"/>
      <c r="CI26" s="59"/>
      <c r="CJ26" s="59"/>
      <c r="CK26" s="59"/>
      <c r="CL26" s="59"/>
      <c r="CM26" s="59"/>
      <c r="CN26" s="59"/>
      <c r="CO26" s="59"/>
      <c r="CP26" s="59"/>
      <c r="CQ26" s="59"/>
      <c r="CR26" s="59"/>
      <c r="CS26" s="59"/>
      <c r="CT26" s="59"/>
      <c r="CU26" s="59"/>
      <c r="CV26" s="59"/>
      <c r="CW26" s="59"/>
      <c r="CX26" s="59"/>
      <c r="CY26" s="59"/>
      <c r="CZ26" s="59"/>
    </row>
    <row r="27" spans="1:18" s="59" customFormat="1" ht="12.75">
      <c r="A27" s="37" t="s">
        <v>88</v>
      </c>
      <c r="B27" s="38">
        <f t="shared" si="1"/>
        <v>-0.14810959360426382</v>
      </c>
      <c r="C27" s="154">
        <f>E27-'[1]EU variety'!C27</f>
        <v>119200</v>
      </c>
      <c r="D27" s="71">
        <f>F27-'[1]EU variety'!D27</f>
        <v>138700</v>
      </c>
      <c r="E27" s="39">
        <f>'Czech Republic'!E$9+Germany!E$17+Poland!E$15</f>
        <v>122754</v>
      </c>
      <c r="F27" s="71">
        <f>'Czech Republic'!F$9+Germany!F$17+Poland!F$15</f>
        <v>144096</v>
      </c>
      <c r="G27" s="71">
        <f>'Czech Republic'!G$9+Germany!G$17+Poland!G$15</f>
        <v>172645</v>
      </c>
      <c r="H27" s="71">
        <f>'Czech Republic'!H$9+Germany!H$17+Poland!H$15</f>
        <v>152074</v>
      </c>
      <c r="I27" s="71">
        <v>234358</v>
      </c>
      <c r="J27" s="71">
        <v>174018</v>
      </c>
      <c r="K27" s="71">
        <f>'Czech Republic'!K$9+Germany!K$17+Poland!K$15</f>
        <v>216695</v>
      </c>
      <c r="L27" s="71">
        <f>'Czech Republic'!L$9+Germany!L$17+Poland!L$15</f>
        <v>215402</v>
      </c>
      <c r="M27" s="71">
        <f>'Czech Republic'!M$9+Germany!M$17+Poland!M$15</f>
        <v>215557</v>
      </c>
      <c r="N27" s="71">
        <f>'Czech Republic'!N$9+Germany!N$17+Poland!N$15</f>
        <v>202948</v>
      </c>
      <c r="O27" s="71">
        <f>'Czech Republic'!O$9+Germany!O$17+Poland!O$15</f>
        <v>175866</v>
      </c>
      <c r="P27" s="71">
        <f>'Czech Republic'!P$9+Germany!P$17+Poland!P$15</f>
        <v>150259</v>
      </c>
      <c r="Q27" s="71">
        <f>'Czech Republic'!Q$9+Germany!Q$17+Poland!Q$15</f>
        <v>73707</v>
      </c>
      <c r="R27" s="72">
        <f>'Czech Republic'!R$9+Germany!R$17+Poland!R$15</f>
        <v>106428</v>
      </c>
    </row>
    <row r="28" spans="1:18" ht="12.75">
      <c r="A28" s="37" t="s">
        <v>19</v>
      </c>
      <c r="B28" s="38"/>
      <c r="C28" s="154">
        <f>E28-'[1]EU variety'!C28</f>
        <v>0</v>
      </c>
      <c r="D28" s="71">
        <f>F28-'[1]EU variety'!D28</f>
        <v>0</v>
      </c>
      <c r="E28" s="39">
        <f>Italy!E$18</f>
        <v>0</v>
      </c>
      <c r="F28" s="71">
        <f>Italy!F$18</f>
        <v>0</v>
      </c>
      <c r="G28" s="71">
        <f>Italy!G$18</f>
        <v>0</v>
      </c>
      <c r="H28" s="71">
        <f>Italy!H$18</f>
        <v>0</v>
      </c>
      <c r="I28" s="71">
        <v>4177</v>
      </c>
      <c r="J28" s="71">
        <v>4407</v>
      </c>
      <c r="K28" s="71">
        <f>Italy!K$18</f>
        <v>8865.6</v>
      </c>
      <c r="L28" s="71">
        <f>Italy!L$18</f>
        <v>8597.4</v>
      </c>
      <c r="M28" s="71">
        <f>Italy!M$18</f>
        <v>10762</v>
      </c>
      <c r="N28" s="71">
        <f>Italy!N$18</f>
        <v>7130</v>
      </c>
      <c r="O28" s="71">
        <f>Italy!O$18</f>
        <v>3342.2323308183804</v>
      </c>
      <c r="P28" s="71">
        <f>Italy!P$18</f>
        <v>8859.517415794433</v>
      </c>
      <c r="Q28" s="71">
        <f>Italy!Q$18</f>
        <v>8884</v>
      </c>
      <c r="R28" s="72">
        <f>Italy!R$18</f>
        <v>5689.08</v>
      </c>
    </row>
    <row r="29" spans="1:18" ht="12.75">
      <c r="A29" s="37" t="s">
        <v>34</v>
      </c>
      <c r="B29" s="38">
        <f>(E29-F29)/F29</f>
        <v>0.0625</v>
      </c>
      <c r="C29" s="154">
        <f>E29-'[1]EU variety'!C29</f>
        <v>9</v>
      </c>
      <c r="D29" s="71">
        <f>F29-'[1]EU variety'!D29</f>
        <v>-13</v>
      </c>
      <c r="E29" s="39">
        <f>'Czech Republic'!E$10+UK!E$9+Poland!E$16+Denmark!E$17</f>
        <v>34</v>
      </c>
      <c r="F29" s="71">
        <f>'Czech Republic'!F$10+UK!F$9+Poland!F$16+Denmark!F$17</f>
        <v>32</v>
      </c>
      <c r="G29" s="71">
        <f>'Czech Republic'!G$10+UK!G$9+Poland!G$16+Denmark!G$17</f>
        <v>319</v>
      </c>
      <c r="H29" s="71">
        <f>'Czech Republic'!H$10+UK!H$9+Poland!H$16+Denmark!H$17</f>
        <v>102</v>
      </c>
      <c r="I29" s="71">
        <v>44</v>
      </c>
      <c r="J29" s="71">
        <v>35</v>
      </c>
      <c r="K29" s="71">
        <f>'Czech Republic'!K$10+UK!K$9+Poland!K$16+Denmark!K$17</f>
        <v>76</v>
      </c>
      <c r="L29" s="71">
        <f>'Czech Republic'!L$10+UK!L$9+Poland!L$16+Denmark!L$17</f>
        <v>109</v>
      </c>
      <c r="M29" s="71">
        <f>'Czech Republic'!M$10+UK!M$9+Poland!M$16+Denmark!M$17</f>
        <v>202</v>
      </c>
      <c r="N29" s="71">
        <f>'Czech Republic'!N$10+UK!N$9+Poland!N$16+Denmark!N$17</f>
        <v>131</v>
      </c>
      <c r="O29" s="71">
        <f>'Czech Republic'!O$10+UK!O$9+Poland!O$16+Denmark!O$17</f>
        <v>585</v>
      </c>
      <c r="P29" s="71">
        <f>'Czech Republic'!P$10+UK!P$9+Poland!P$16+Denmark!P$17</f>
        <v>168</v>
      </c>
      <c r="Q29" s="71">
        <f>'Czech Republic'!Q$10+UK!Q$9+Poland!Q$16+Denmark!Q$17</f>
        <v>124</v>
      </c>
      <c r="R29" s="72">
        <f>'Czech Republic'!R$10+UK!R$9+Poland!R$16+Denmark!R$17</f>
        <v>5241</v>
      </c>
    </row>
    <row r="30" spans="1:18" ht="12.75">
      <c r="A30" s="37" t="s">
        <v>98</v>
      </c>
      <c r="B30" s="38">
        <f>(E30-F30)/F30</f>
        <v>0.0030060837680188487</v>
      </c>
      <c r="C30" s="154">
        <f>E30-'[1]EU variety'!C30</f>
        <v>-5953.111111111124</v>
      </c>
      <c r="D30" s="71">
        <f>F30-'[1]EU variety'!D30</f>
        <v>9676.055555555562</v>
      </c>
      <c r="E30" s="39">
        <f>Austria!E$6+Denmark!E$18+France!E$2+France!E$24+France!E$17+France!E$15+France!E$13+Switzerland!E$17+UK!E$10+Germany!E$19+Netherlands!E$6</f>
        <v>147087.88888888888</v>
      </c>
      <c r="F30" s="71">
        <f>Austria!F$6+Denmark!F$18+France!F$2+France!F$24+France!F$17+France!F$15+France!F$13+Switzerland!F$17+UK!F$10+Germany!F$19+Netherlands!F$6</f>
        <v>146647.05555555556</v>
      </c>
      <c r="G30" s="71">
        <f>Austria!G$6+Denmark!G$18+France!G$2+France!G$24+France!G$17+France!G$15+France!G$13+Switzerland!G$17+UK!G$10+Germany!G$19+Netherlands!G$6</f>
        <v>141119.75</v>
      </c>
      <c r="H30" s="71">
        <f>Austria!H$6+Denmark!H$18+France!H$2+France!H$24+France!H$17+France!H$15+France!H$13+Switzerland!H$17+UK!H$10+Germany!H$19+Netherlands!H$6</f>
        <v>139700</v>
      </c>
      <c r="I30" s="71">
        <v>141569.759</v>
      </c>
      <c r="J30" s="71">
        <v>94415</v>
      </c>
      <c r="K30" s="71">
        <f>Austria!K$6+Denmark!K$18+France!K$2+France!K$24+France!K$17+France!K$15+France!K$13+Switzerland!K$17+UK!K$10+Germany!K$19+Netherlands!K$6</f>
        <v>113524.52</v>
      </c>
      <c r="L30" s="71">
        <f>Austria!L$6+Denmark!L$18+France!L$2+France!L$24+France!L$17+France!L$15+France!L$13+Switzerland!L$17+UK!L$10+Germany!L$19+Netherlands!L$6</f>
        <v>120850.72</v>
      </c>
      <c r="M30" s="71">
        <f>Austria!M$6+Denmark!M$18+France!M$2+France!M$24+France!M$17+France!M$15+France!M$13+Switzerland!M$17+UK!M$10+Germany!M$19+Netherlands!M$6</f>
        <v>126384.95999999999</v>
      </c>
      <c r="N30" s="71">
        <f>Austria!N$6+Denmark!N$18+France!N$2+France!N$24+France!N$17+France!N$15+France!N$13+Switzerland!N$17+UK!N$10+Germany!N$19+Netherlands!N$6</f>
        <v>117736</v>
      </c>
      <c r="O30" s="71">
        <f>Austria!O$6+Denmark!O$18+France!O$2+France!O$24+France!O$17+France!O$15+France!O$13+Switzerland!O$17+UK!O$10+Germany!O$19+Netherlands!O$6</f>
        <v>65561</v>
      </c>
      <c r="P30" s="71">
        <f>Austria!P$6+Denmark!P$18+France!P$2+France!P$24+France!P$17+France!P$15+France!P$13+Switzerland!P$17+UK!P$10+Germany!P$19</f>
        <v>70342</v>
      </c>
      <c r="Q30" s="71">
        <f>Austria!Q$6+Denmark!Q$18+France!Q$2+France!Q$24+France!Q$17+France!Q$15+France!Q$13+Switzerland!Q$17+UK!Q$10+Germany!Q$19</f>
        <v>65178</v>
      </c>
      <c r="R30" s="72">
        <f>Austria!R$6+Denmark!R$18+France!R$2+France!R$24+France!R$17+France!R$15+France!R$13+Switzerland!R$17+UK!R$10+Germany!R$19</f>
        <v>50140</v>
      </c>
    </row>
    <row r="31" spans="1:20" ht="13.5" thickBot="1">
      <c r="A31" s="44" t="s">
        <v>5</v>
      </c>
      <c r="B31" s="45">
        <f>(E31-F31)/F31</f>
        <v>-0.0674510020493234</v>
      </c>
      <c r="C31" s="155">
        <f>E31-'[1]EU variety'!C31</f>
        <v>190202.79518213758</v>
      </c>
      <c r="D31" s="106">
        <f>F31-'[1]EU variety'!D31</f>
        <v>277562.4641768697</v>
      </c>
      <c r="E31" s="46">
        <f>Austria!E$2+Austria!E$15+Austria!E$18+Austria!E$19+Austria!E$20+Belgium!E$9+'Czech Republic'!E$11+Denmark!E$3+Denmark!E$15+Denmark!E$12+Denmark!E$19+Germany!E$12+Germany!E$18+Germany!E$20+Italy!E$19+Spain!E$7+Switzerland!E$7+Switzerland!E$13+Switzerland!E$15+Switzerland!E$16+Switzerland!E$18+Netherlands!E$7+UK!E$11+France!E$3+France!E$7+France!E$22+France!E$23+France!E$25+Poland!E$10+Poland!E$17</f>
        <v>541237.7228842296</v>
      </c>
      <c r="F31" s="106">
        <f>Austria!F$2+Austria!F$15+Austria!F$18+Austria!F$19+Austria!F$20+Belgium!F$9+'Czech Republic'!F$11+Denmark!F$3+Denmark!F$15+Denmark!F$12+Denmark!F$19+Germany!F$12+Germany!F$18+Germany!F$20+Italy!F$19+Spain!F$7+Switzerland!F$7+Switzerland!F$13+Switzerland!F$15+Switzerland!F$16+Switzerland!F$18+Netherlands!F$7+UK!F$11+France!F$3+France!F$7+France!F$22+France!F$23+France!F$25+Poland!F$10+Poland!F$17</f>
        <v>580385.292433563</v>
      </c>
      <c r="G31" s="106">
        <f>Austria!G$2+Austria!G$15+Austria!G$18+Austria!G$19+Austria!G$20+Belgium!G$9+'Czech Republic'!G$11+Denmark!G$3+Denmark!G$15+Denmark!G$12+Denmark!G$19+Germany!G$12+Germany!G$18+Germany!G$20+Italy!G$19+Spain!G$7+Switzerland!G$7+Switzerland!G$13+Switzerland!G$15+Switzerland!G$16+Switzerland!G$18+Netherlands!G$7+UK!G$11+France!G$3+France!G$7+France!G$22+France!G$23+France!G$25+Poland!G$10+Poland!G$17</f>
        <v>678759.82</v>
      </c>
      <c r="H31" s="106">
        <f>Austria!H$2+Austria!H$15+Austria!H$18+Austria!H$19+Austria!H$20+Belgium!H$9+'Czech Republic'!H$11+Denmark!H$3+Denmark!H$15+Denmark!H$12+Denmark!H$19+Germany!H$12+Germany!H$18+Germany!H$20+Italy!H$19+Spain!H$7+Switzerland!H$7+Switzerland!H$13+Switzerland!H$15+Switzerland!H$16+Switzerland!H$18+Netherlands!H$7+UK!H$11+France!H$3+France!H$7+France!H$22+France!H$23+France!H$25+Poland!H$10+Poland!H$17</f>
        <v>390290.52</v>
      </c>
      <c r="I31" s="106">
        <v>686243.758</v>
      </c>
      <c r="J31" s="106">
        <v>381101</v>
      </c>
      <c r="K31" s="106">
        <f>Austria!K$2++Austria!K$15+Austria!K$18+Austria!K$19+Austria!K$20+Belgium!K$9+'Czech Republic'!K$11+Denmark!K$3+Denmark!K$15+Denmark!K$12+Denmark!K$19+Germany!K$12+Germany!K$18+Germany!K$20+Italy!K$19+Spain!K$7+Switzerland!K$7+Switzerland!K$13+Switzerland!K$15+Switzerland!K$16+Switzerland!K$18+Netherlands!K$7+UK!K$11+France!K$3+France!K$7+France!K$22+France!K$23+France!K$25+Poland!K$10+Poland!K$17</f>
        <v>536201.66</v>
      </c>
      <c r="L31" s="71">
        <f>Austria!L$2++Austria!L$15+Austria!L$18+Austria!L$19+Austria!L$20+Belgium!L$9+'Czech Republic'!L$11+Denmark!L$3+Denmark!L$15+Denmark!L$12+Denmark!L$19+Germany!L$12+Germany!L$18+Germany!L$20+Italy!L$19+Spain!L$7+Switzerland!L$7+Switzerland!L$13+Switzerland!L$15+Switzerland!L$16+Switzerland!L$18+Netherlands!L$7+UK!L$11+France!L$3+France!L$7+France!L$22+France!L$23+France!L$25+Poland!L$10+Poland!L$17</f>
        <v>565321.94</v>
      </c>
      <c r="M31" s="71">
        <f>Austria!M$2++Austria!M$15+Austria!M$18+Austria!M$19+Austria!M$20+Belgium!M$9+'Czech Republic'!M$11+Denmark!M$3+Denmark!M$15+Denmark!M$12+Denmark!M$19+Germany!M$12+Germany!M$18+Germany!M$20+Italy!M$19+Spain!M$7+Switzerland!M$7+Switzerland!M$13+Switzerland!M$15+Switzerland!M$16+Switzerland!M$18+Netherlands!M$7+UK!M$11+France!M$3+France!M$7+France!M$22+France!M$23+France!M$25+Poland!M$10+Poland!M$17</f>
        <v>559269.06</v>
      </c>
      <c r="N31" s="71">
        <f>Austria!N$2++Austria!N$15+Austria!N$18+Austria!N$19+Austria!N$20+Belgium!N$9+'Czech Republic'!N$11+Denmark!N$3+Denmark!N$15+Denmark!N$12+Denmark!N$19+Germany!N$12+Germany!N$18+Germany!N$20+Italy!N$19+Spain!N$7+Switzerland!N$7+Switzerland!N$13+Switzerland!N$15+Switzerland!N$16+Switzerland!N$18+Netherlands!N$7+UK!N$11+France!N$3+France!N$7+France!N$22+France!N$23+France!N$25+Poland!N$10+Poland!N$17</f>
        <v>423989.527</v>
      </c>
      <c r="O31" s="71">
        <f>Austria!O$2++Austria!O$15+Austria!O$18+Austria!O$19+Austria!O$20+Belgium!O$9+'Czech Republic'!O$11+Denmark!O$3+Denmark!O$15+Denmark!O$12+Denmark!O$19+Germany!O$12+Germany!O$18+Germany!O$20+Italy!O$19+Spain!O$7+Switzerland!O$7+Switzerland!O$13+Switzerland!O$15+Switzerland!O$16+Switzerland!O$18+Netherlands!O$7+UK!O$11+France!O$3+France!O$7+France!O$22+France!O$23+France!O$25+Poland!O$10+Poland!O$17</f>
        <v>443930.52622296533</v>
      </c>
      <c r="P31" s="71">
        <f>Austria!P$2++Austria!P$15+Austria!P$18+Austria!P$19+Austria!P$20+Belgium!P$9+'Czech Republic'!P$11+Denmark!P$3+Denmark!P$15+Denmark!P$12+Denmark!P$19+Germany!P$12+Germany!P$18+Germany!P$20+Italy!P$19+Spain!P$7+Switzerland!P$7+Switzerland!P$13+Switzerland!P$15+Switzerland!P$16+Switzerland!P$18+Netherlands!P$7+UK!P$11+France!P$3+France!P$7+France!P$22+France!P$23+France!P$25+Poland!P$10+Poland!P$17</f>
        <v>388707.42268708476</v>
      </c>
      <c r="Q31" s="71">
        <f>Austria!Q$2++Austria!Q$15+Austria!Q$18+Austria!Q$19+Austria!Q$20+Belgium!Q$9+'Czech Republic'!Q$11+Denmark!Q$3+Denmark!Q$15+Denmark!Q$12+Denmark!Q$19+Germany!Q$12+Germany!Q$18+Germany!Q$20+Italy!Q$19+Spain!Q$7+Switzerland!Q$7+Switzerland!Q$13+Switzerland!Q$15+Switzerland!Q$16+Switzerland!Q$18+Netherlands!Q$7+UK!Q$11+France!Q$3+France!Q$7+France!Q$22+France!Q$23+France!Q$25+Poland!Q$10+Poland!Q$17</f>
        <v>183360</v>
      </c>
      <c r="R31" s="101">
        <f>Austria!R$2++Austria!R$15+Austria!R$18+Austria!R$19+Austria!R$20+Belgium!R$9+'Czech Republic'!R$11+Denmark!R$3+Denmark!R$15+Denmark!R$12+Denmark!R$19+Germany!R$12+Germany!R$18+Germany!R$20+Italy!R$19+Spain!R$7+Switzerland!R$7+Switzerland!R$13+Switzerland!R$15+Switzerland!R$16+Switzerland!R$18+Netherlands!R$7+UK!R$11+France!R$3+France!R$7+France!R$22+France!R$23+France!R$25+Poland!R$10+Poland!R$17</f>
        <v>275065.56</v>
      </c>
      <c r="T31" s="36"/>
    </row>
    <row r="32" spans="1:18" ht="13.5" thickBot="1">
      <c r="A32" s="49" t="s">
        <v>93</v>
      </c>
      <c r="B32" s="129">
        <f>(E32-F32)/F32</f>
        <v>-0.08614451655952372</v>
      </c>
      <c r="C32" s="165"/>
      <c r="D32" s="80"/>
      <c r="E32" s="79">
        <f>SUM(E2:E31)</f>
        <v>4480438.103626485</v>
      </c>
      <c r="F32" s="80">
        <f>SUM(F2:F31)</f>
        <v>4902786.255391898</v>
      </c>
      <c r="G32" s="80">
        <f>SUM(G2:G31)</f>
        <v>4592937.2641482325</v>
      </c>
      <c r="H32" s="80">
        <f>SUM(H2:H31)</f>
        <v>4457971.380843642</v>
      </c>
      <c r="I32" s="80">
        <v>5139720.216</v>
      </c>
      <c r="J32" s="80">
        <v>3548332</v>
      </c>
      <c r="K32" s="80">
        <f>SUM(K2:K31)</f>
        <v>4713530.34347932</v>
      </c>
      <c r="L32" s="102">
        <f>SUM(L2:L31)</f>
        <v>5074215.503674282</v>
      </c>
      <c r="M32" s="102">
        <f aca="true" t="shared" si="2" ref="M32:R32">SUM(M2:M31)</f>
        <v>5150749.577648781</v>
      </c>
      <c r="N32" s="102">
        <f t="shared" si="2"/>
        <v>4606679.470370431</v>
      </c>
      <c r="O32" s="102">
        <f t="shared" si="2"/>
        <v>4016560.0000000005</v>
      </c>
      <c r="P32" s="102">
        <f t="shared" si="2"/>
        <v>4477971</v>
      </c>
      <c r="Q32" s="102">
        <f t="shared" si="2"/>
        <v>3774277</v>
      </c>
      <c r="R32" s="132">
        <f t="shared" si="2"/>
        <v>4235523.78</v>
      </c>
    </row>
    <row r="33" ht="12.75">
      <c r="A33" s="36" t="s">
        <v>153</v>
      </c>
    </row>
    <row r="34" spans="2:18" ht="13.5" thickBot="1">
      <c r="B34" s="36"/>
      <c r="C34" s="36"/>
      <c r="D34" s="128"/>
      <c r="E34" s="128"/>
      <c r="F34" s="128"/>
      <c r="G34" s="128"/>
      <c r="H34" s="128"/>
      <c r="I34" s="128"/>
      <c r="J34" s="128"/>
      <c r="K34" s="36"/>
      <c r="L34" s="36"/>
      <c r="M34" s="36"/>
      <c r="N34" s="36"/>
      <c r="O34" s="36"/>
      <c r="P34" s="36"/>
      <c r="Q34" s="36"/>
      <c r="R34" s="36"/>
    </row>
    <row r="35" spans="1:18" s="36" customFormat="1" ht="13.5" thickBot="1">
      <c r="A35" s="34" t="s">
        <v>92</v>
      </c>
      <c r="B35" s="17" t="s">
        <v>182</v>
      </c>
      <c r="C35" s="174" t="s">
        <v>183</v>
      </c>
      <c r="D35" s="55" t="s">
        <v>177</v>
      </c>
      <c r="E35" s="31">
        <v>44896</v>
      </c>
      <c r="F35" s="18">
        <v>44531</v>
      </c>
      <c r="G35" s="18">
        <v>44166</v>
      </c>
      <c r="H35" s="18">
        <v>43800</v>
      </c>
      <c r="I35" s="18">
        <v>43435</v>
      </c>
      <c r="J35" s="18">
        <v>43070</v>
      </c>
      <c r="K35" s="18">
        <v>42705</v>
      </c>
      <c r="L35" s="57">
        <f>L1</f>
        <v>42339</v>
      </c>
      <c r="M35" s="57">
        <f>M1</f>
        <v>41974</v>
      </c>
      <c r="N35" s="57">
        <v>41609</v>
      </c>
      <c r="O35" s="57">
        <v>41244</v>
      </c>
      <c r="P35" s="57">
        <v>40878</v>
      </c>
      <c r="Q35" s="57">
        <v>40513</v>
      </c>
      <c r="R35" s="58">
        <v>40148</v>
      </c>
    </row>
    <row r="36" spans="1:18" s="36" customFormat="1" ht="12.75">
      <c r="A36" s="104" t="s">
        <v>99</v>
      </c>
      <c r="B36" s="38">
        <f aca="true" t="shared" si="3" ref="B36:B41">(E36-F36)/F36</f>
        <v>2.9607224596662314</v>
      </c>
      <c r="C36" s="156">
        <f>E36-'[1]EU variety'!C36</f>
        <v>-15835.978037137087</v>
      </c>
      <c r="D36" s="71">
        <f>F36-'[1]EU variety'!D36</f>
        <v>-4855.577717206157</v>
      </c>
      <c r="E36" s="39">
        <f>Italy!E$24</f>
        <v>73300.35772443992</v>
      </c>
      <c r="F36" s="71">
        <f>Italy!F$24</f>
        <v>18506.814974007775</v>
      </c>
      <c r="G36" s="71">
        <f>Italy!G$24</f>
        <v>123603.95069820629</v>
      </c>
      <c r="H36" s="71">
        <f>Italy!H$24</f>
        <v>57060.605919378584</v>
      </c>
      <c r="I36" s="71">
        <v>156648.07633423616</v>
      </c>
      <c r="J36" s="71">
        <v>188252</v>
      </c>
      <c r="K36" s="152">
        <f>Italy!K$24</f>
        <v>160810.63274927204</v>
      </c>
      <c r="L36" s="152">
        <f>Italy!L$24</f>
        <v>190239.85244829967</v>
      </c>
      <c r="M36" s="152">
        <f>Italy!M$24</f>
        <v>195211.585597096</v>
      </c>
      <c r="N36" s="152">
        <f>Italy!N$24</f>
        <v>220635.276770521</v>
      </c>
      <c r="O36" s="152">
        <f>Italy!O$24</f>
        <v>152771</v>
      </c>
      <c r="P36" s="152">
        <f>Italy!P$24</f>
        <v>263695</v>
      </c>
      <c r="Q36" s="152">
        <f>Italy!Q$24</f>
        <v>102895</v>
      </c>
      <c r="R36" s="105">
        <f>Italy!R$24</f>
        <v>137083</v>
      </c>
    </row>
    <row r="37" spans="1:18" s="36" customFormat="1" ht="12.75">
      <c r="A37" s="37" t="s">
        <v>37</v>
      </c>
      <c r="B37" s="38">
        <f t="shared" si="3"/>
        <v>-0.10790177490897701</v>
      </c>
      <c r="C37" s="156">
        <f>E37-'[1]EU variety'!C37</f>
        <v>-990.5645381288277</v>
      </c>
      <c r="D37" s="71">
        <f>F37-'[1]EU variety'!D37</f>
        <v>-1520.4771144769306</v>
      </c>
      <c r="E37" s="39">
        <f>Spain!E$12</f>
        <v>1762.8958145679971</v>
      </c>
      <c r="F37" s="71">
        <f>Spain!F$12</f>
        <v>1976.122992945227</v>
      </c>
      <c r="G37" s="71">
        <f>Spain!G$12</f>
        <v>4105.9411879520385</v>
      </c>
      <c r="H37" s="71">
        <f>Spain!H$12</f>
        <v>5554.006995297585</v>
      </c>
      <c r="I37" s="71">
        <v>3760</v>
      </c>
      <c r="J37" s="71">
        <v>5055</v>
      </c>
      <c r="K37" s="71">
        <f>Spain!K$12</f>
        <v>5129.39371472157</v>
      </c>
      <c r="L37" s="71">
        <f>Spain!L$12</f>
        <v>3983.7321032926498</v>
      </c>
      <c r="M37" s="71">
        <f>Spain!M$12</f>
        <v>4652</v>
      </c>
      <c r="N37" s="71">
        <f>Spain!N$12</f>
        <v>8768.206793522791</v>
      </c>
      <c r="O37" s="71">
        <f>Spain!O$12</f>
        <v>4190</v>
      </c>
      <c r="P37" s="71">
        <f>Spain!P$12</f>
        <v>9131</v>
      </c>
      <c r="Q37" s="71">
        <f>Spain!Q$12</f>
        <v>7869</v>
      </c>
      <c r="R37" s="72">
        <f>Spain!R$12</f>
        <v>7480</v>
      </c>
    </row>
    <row r="38" spans="1:18" ht="12.75">
      <c r="A38" s="37" t="s">
        <v>38</v>
      </c>
      <c r="B38" s="38">
        <f t="shared" si="3"/>
        <v>0.15496588806089856</v>
      </c>
      <c r="C38" s="156">
        <f>E38-'[1]EU variety'!C38</f>
        <v>-966.4735078477534</v>
      </c>
      <c r="D38" s="71">
        <f>F38-'[1]EU variety'!D38</f>
        <v>-642.6093962934174</v>
      </c>
      <c r="E38" s="39">
        <f>Spain!E$13</f>
        <v>3407.521625835968</v>
      </c>
      <c r="F38" s="71">
        <f>Spain!F$13</f>
        <v>2950.322309134984</v>
      </c>
      <c r="G38" s="71">
        <f>Spain!G$13</f>
        <v>7727.315863773977</v>
      </c>
      <c r="H38" s="71">
        <f>Spain!H$13</f>
        <v>6609.217048400057</v>
      </c>
      <c r="I38" s="71">
        <v>8062</v>
      </c>
      <c r="J38" s="71">
        <v>12358</v>
      </c>
      <c r="K38" s="71">
        <f>Spain!K$13</f>
        <v>13998.002729425983</v>
      </c>
      <c r="L38" s="71">
        <f>Spain!L$13</f>
        <v>9967.974369255193</v>
      </c>
      <c r="M38" s="71">
        <f>Spain!M$13</f>
        <v>14886</v>
      </c>
      <c r="N38" s="71">
        <f>Spain!N$13</f>
        <v>15053.32890977768</v>
      </c>
      <c r="O38" s="71">
        <f>Spain!O$13</f>
        <v>11631</v>
      </c>
      <c r="P38" s="71">
        <f>Spain!P$13</f>
        <v>19399</v>
      </c>
      <c r="Q38" s="71">
        <f>Spain!Q$13</f>
        <v>25304</v>
      </c>
      <c r="R38" s="72">
        <f>Spain!R$13</f>
        <v>23226</v>
      </c>
    </row>
    <row r="39" spans="1:18" ht="12.75">
      <c r="A39" s="37" t="s">
        <v>6</v>
      </c>
      <c r="B39" s="38">
        <f t="shared" si="3"/>
        <v>-0.04560229188286781</v>
      </c>
      <c r="C39" s="156">
        <f>E39-'[1]EU variety'!C39</f>
        <v>-22315.145400578273</v>
      </c>
      <c r="D39" s="71">
        <f>F39-'[1]EU variety'!D39</f>
        <v>-27368.374675064115</v>
      </c>
      <c r="E39" s="39">
        <f>Belgium!E$15+Denmark!E$24+Italy!E$25+Poland!E$22+Spain!E$14+Switzerland!E$24+Netherlands!E$12+UK!E$16+'Czech Republic'!E$16+France!E$32</f>
        <v>511424.9528952475</v>
      </c>
      <c r="F39" s="71">
        <f>Belgium!F$15+Denmark!F$24+Italy!F$25+Poland!F$22+Spain!F$14+Switzerland!F$24+Netherlands!F$12+UK!F$16+'Czech Republic'!F$16+France!F$32</f>
        <v>535861.4637751004</v>
      </c>
      <c r="G39" s="71">
        <f>Belgium!G$15+Denmark!G$24+Italy!G$25+Poland!G$22+Spain!G$14+Switzerland!G$24+Netherlands!G$12+UK!G$16+'Czech Republic'!G$16+France!G$32</f>
        <v>596767.7191738184</v>
      </c>
      <c r="H39" s="71">
        <f>Belgium!H$15+Denmark!H$24+Italy!H$25+Poland!H$22+Spain!H$14+Switzerland!H$24+Netherlands!H$12+UK!H$16+'Czech Republic'!H$16+France!H$32</f>
        <v>494065.3761377068</v>
      </c>
      <c r="I39" s="71">
        <v>587609.9724491233</v>
      </c>
      <c r="J39" s="71">
        <v>502694</v>
      </c>
      <c r="K39" s="71">
        <f>Belgium!K$15+Denmark!K$24+Italy!K$25+Poland!K$22+Spain!K$14+Switzerland!K$24+Netherlands!K$12+UK!K$16+'Czech Republic'!K$16+France!K$32</f>
        <v>527920.4593173008</v>
      </c>
      <c r="L39" s="71">
        <f>Belgium!L$15+Denmark!L$24+Italy!L$25+Poland!L$22+Spain!L$14+Switzerland!L$24+Netherlands!L$12+UK!L$16+'Czech Republic'!L$16+France!L$32</f>
        <v>581276.4575255024</v>
      </c>
      <c r="M39" s="71">
        <f>Belgium!M$15+Denmark!M$24+Italy!M$25+Poland!M$22+Spain!M$14+Switzerland!M$24+Netherlands!M$12+UK!M$16+'Czech Republic'!M$16+France!M$32</f>
        <v>554713.1616980771</v>
      </c>
      <c r="N39" s="71">
        <f>Belgium!N$15+Denmark!N$24+Italy!N$25+Poland!N$22+Spain!N$14+Switzerland!N$24+Netherlands!N$12+UK!N$16+'Czech Republic'!N$16+France!N$32</f>
        <v>563808.4170990369</v>
      </c>
      <c r="O39" s="71">
        <f>Belgium!O$15+Denmark!O$24+Italy!O$25+Poland!O$22+Spain!O$14+Switzerland!O$24+Netherlands!O$12+UK!O$16+'Czech Republic'!O$16+France!O$32</f>
        <v>365714</v>
      </c>
      <c r="P39" s="71">
        <f>Belgium!P$15+Denmark!P$24+Italy!P$25+Poland!P$22+Spain!P$14+Switzerland!P$24+Netherlands!P$12+UK!P$16+'Czech Republic'!P$16+France!P$32</f>
        <v>548848</v>
      </c>
      <c r="Q39" s="71">
        <f>Belgium!Q$15+Denmark!Q$24+Italy!Q$25+Poland!Q$22+Spain!Q$14+Switzerland!Q$24+Netherlands!Q$12+UK!Q$16+'Czech Republic'!Q$16+France!Q$32</f>
        <v>432893</v>
      </c>
      <c r="R39" s="72">
        <f>Belgium!R$15+Denmark!R$24+Italy!R$25+Poland!R$22+Spain!R$14+Switzerland!R$24+Netherlands!R$12+UK!R$16+'Czech Republic'!R$16+France!R$32</f>
        <v>466108</v>
      </c>
    </row>
    <row r="40" spans="1:18" ht="12.75">
      <c r="A40" s="37" t="s">
        <v>94</v>
      </c>
      <c r="B40" s="38">
        <f t="shared" si="3"/>
        <v>0.08697948704224634</v>
      </c>
      <c r="C40" s="156">
        <f>E40-'[1]EU variety'!C40</f>
        <v>-6053.576745277191</v>
      </c>
      <c r="D40" s="71">
        <f>F40-'[1]EU variety'!D40</f>
        <v>-7088.5628772106975</v>
      </c>
      <c r="E40" s="39">
        <f>Belgium!E$16+Italy!E$26+Poland!E$23+Netherlands!E$13+UK!E$17+France!E$33+Denmark!E$25</f>
        <v>18727.842223719133</v>
      </c>
      <c r="F40" s="71">
        <f>Belgium!F$16+Italy!F$26+Poland!F$23+Netherlands!F$13+UK!F$17+France!F$33+Denmark!F$25</f>
        <v>17229.250824851362</v>
      </c>
      <c r="G40" s="71">
        <f>Belgium!G$16+Italy!G$26+Poland!G$23+Netherlands!G$13+UK!G$17+France!G$33+Denmark!G$25</f>
        <v>32637.58546560783</v>
      </c>
      <c r="H40" s="71">
        <f>Belgium!H$16+Italy!H$26+Poland!H$23+Netherlands!H$13+UK!H$17+France!H$33+Denmark!H$25</f>
        <v>22247.5424846246</v>
      </c>
      <c r="I40" s="71">
        <v>33866.57350152736</v>
      </c>
      <c r="J40" s="71">
        <v>20284</v>
      </c>
      <c r="K40" s="71">
        <f>Belgium!K$16+Italy!K$26+Poland!K$23+Netherlands!K$13+UK!K$17+France!K$33+Denmark!K$25</f>
        <v>31568.265755905206</v>
      </c>
      <c r="L40" s="71">
        <f>Belgium!L$16+Italy!L$26+Poland!L$23+Netherlands!L$13+UK!L$17+France!L$33+Denmark!L$25</f>
        <v>42138.19474357127</v>
      </c>
      <c r="M40" s="71">
        <f>Belgium!M$16+Italy!M$26+Poland!M$23+Netherlands!M$13+UK!M$17+France!M$33+Denmark!M$25</f>
        <v>42521.154609017</v>
      </c>
      <c r="N40" s="71">
        <f>Belgium!N$16+Italy!N$26+Poland!N$23+Netherlands!N$13+UK!N$17+France!N$33+Denmark!N$25</f>
        <v>47201.0821020142</v>
      </c>
      <c r="O40" s="71">
        <f>Belgium!O$16+Italy!O$26+Poland!O$23+Netherlands!O$13+UK!O$17+France!O$33+Denmark!O$25</f>
        <v>22279</v>
      </c>
      <c r="P40" s="71">
        <f>Belgium!P$16+Italy!P$26+Poland!P$23+Netherlands!P$13+UK!P$17+France!P$33+Denmark!P$25</f>
        <v>47139</v>
      </c>
      <c r="Q40" s="71">
        <f>Belgium!Q$16+Italy!Q$26+Poland!Q$23+Netherlands!Q$13+UK!Q$17+France!Q$33+Denmark!Q$25</f>
        <v>37578</v>
      </c>
      <c r="R40" s="72">
        <f>Belgium!R$16+Italy!R$26+Poland!R$23+Netherlands!R$13+UK!R$17+France!R$33+Denmark!R$25</f>
        <v>48882</v>
      </c>
    </row>
    <row r="41" spans="1:18" ht="12.75">
      <c r="A41" s="37" t="s">
        <v>29</v>
      </c>
      <c r="B41" s="38">
        <f t="shared" si="3"/>
        <v>2.149374997480625</v>
      </c>
      <c r="C41" s="156">
        <f>E41-'[1]EU variety'!C41</f>
        <v>-6267.032088423441</v>
      </c>
      <c r="D41" s="71">
        <f>F41-'[1]EU variety'!D41</f>
        <v>-5774.004955478239</v>
      </c>
      <c r="E41" s="39">
        <f>Italy!E$27</f>
        <v>16195.59880011447</v>
      </c>
      <c r="F41" s="71">
        <f>Italy!F$27</f>
        <v>5142.480274044948</v>
      </c>
      <c r="G41" s="71">
        <f>Italy!G$27</f>
        <v>25656.28995011397</v>
      </c>
      <c r="H41" s="71">
        <f>Italy!H$27</f>
        <v>8438.316586174224</v>
      </c>
      <c r="I41" s="71">
        <v>24119.809259286663</v>
      </c>
      <c r="J41" s="71">
        <v>25577</v>
      </c>
      <c r="K41" s="71">
        <f>Italy!K$27</f>
        <v>21392</v>
      </c>
      <c r="L41" s="71">
        <f>Italy!L$27</f>
        <v>30103</v>
      </c>
      <c r="M41" s="71">
        <f>Italy!M$27</f>
        <v>23589.152289199</v>
      </c>
      <c r="N41" s="71">
        <f>Italy!N$27</f>
        <v>39673.9851722429</v>
      </c>
      <c r="O41" s="71">
        <f>Italy!O$27</f>
        <v>24182</v>
      </c>
      <c r="P41" s="71">
        <f>Italy!P$27</f>
        <v>41960</v>
      </c>
      <c r="Q41" s="71">
        <f>Italy!Q$27</f>
        <v>21370</v>
      </c>
      <c r="R41" s="72">
        <f>Italy!R$27</f>
        <v>38019</v>
      </c>
    </row>
    <row r="42" spans="1:18" ht="12.75">
      <c r="A42" s="37" t="s">
        <v>150</v>
      </c>
      <c r="B42" s="38"/>
      <c r="C42" s="156"/>
      <c r="D42" s="71"/>
      <c r="E42" s="39">
        <f>Portugal!E$13</f>
        <v>0</v>
      </c>
      <c r="F42" s="71">
        <f>Portugal!F$13</f>
        <v>0</v>
      </c>
      <c r="G42" s="71">
        <f>Portugal!G$13</f>
        <v>0</v>
      </c>
      <c r="H42" s="71">
        <f>Portugal!H$13</f>
        <v>0</v>
      </c>
      <c r="I42" s="71">
        <v>0</v>
      </c>
      <c r="J42" s="71">
        <v>0</v>
      </c>
      <c r="K42" s="71">
        <f>Portugal!M$13</f>
        <v>0</v>
      </c>
      <c r="L42" s="71">
        <f>Portugal!N$13</f>
        <v>0</v>
      </c>
      <c r="M42" s="71">
        <f>Portugal!O$13</f>
        <v>0</v>
      </c>
      <c r="N42" s="71">
        <f>Portugal!P$13</f>
        <v>0</v>
      </c>
      <c r="O42" s="71">
        <f>Portugal!Q$13</f>
        <v>0</v>
      </c>
      <c r="P42" s="71">
        <f>Portugal!S$13</f>
        <v>0</v>
      </c>
      <c r="Q42" s="71">
        <f>Portugal!T$13</f>
        <v>0</v>
      </c>
      <c r="R42" s="72">
        <f>Portugal!U$13</f>
        <v>0</v>
      </c>
    </row>
    <row r="43" spans="1:18" ht="13.5" thickBot="1">
      <c r="A43" s="44" t="s">
        <v>5</v>
      </c>
      <c r="B43" s="45">
        <f>(E43-F43)/F43</f>
        <v>0.309132342167463</v>
      </c>
      <c r="C43" s="157">
        <f>E43-'[1]EU variety'!C43</f>
        <v>-32767.34398667085</v>
      </c>
      <c r="D43" s="106">
        <f>F43-'[1]EU variety'!D43</f>
        <v>-17041.620755641925</v>
      </c>
      <c r="E43" s="46">
        <f>Belgium!E$17+Belgium!E$19+Denmark!E$26+Germany!E$25+Italy!E$28+Poland!E$24+Spain!E$15+Spain!E$16+Switzerland!E$23+Switzerland!E$25+Switzerland!E$26+Switzerland!E$27+Netherlands!E$14+UK!E$18+'Czech Republic'!E$17+'Czech Republic'!E$18+'Czech Republic'!E$19+'Czech Republic'!E$20+France!E$31+France!E$35+France!E$36+France!E$37+France!E$30+Belgium!E$18</f>
        <v>96885.63669136984</v>
      </c>
      <c r="F43" s="106">
        <f>Belgium!F$17+Belgium!F$19+Denmark!F$26+Germany!F$25+Italy!F$28+Poland!F$24+Spain!F$15+Spain!F$16+Switzerland!F$23+Switzerland!F$25+Switzerland!F$26+Switzerland!F$27+Netherlands!F$14+UK!F$18+'Czech Republic'!F$17+'Czech Republic'!F$18+'Czech Republic'!F$19+'Czech Republic'!F$20+France!F$31+France!F$35+France!F$36+France!F$37+France!F$30+Belgium!F$18</f>
        <v>74007.51900374051</v>
      </c>
      <c r="G43" s="106">
        <f>Belgium!G$17+Belgium!G$19+Denmark!G$26+Germany!G$25+Italy!G$28+Poland!G$24+Spain!G$15+Spain!G$16+Switzerland!G$23+Switzerland!G$25+Switzerland!G$26+Switzerland!G$27+Netherlands!G$14+UK!G$18+'Czech Republic'!G$17+'Czech Republic'!G$18+'Czech Republic'!G$19+'Czech Republic'!G$20+France!G$31+France!G$35+France!G$36+France!G$37+France!G$30</f>
        <v>108779.42485329602</v>
      </c>
      <c r="H43" s="106">
        <f>Belgium!H$17+Belgium!H$19+Denmark!H$26+Germany!H$25+Italy!H$28+Poland!H$24+Spain!H$15+Spain!H$16+Switzerland!H$23+Switzerland!H$25+Switzerland!H$26+Switzerland!H$27+Netherlands!H$14+UK!H$18+'Czech Republic'!H$17+'Czech Republic'!H$18+'Czech Republic'!H$19+'Czech Republic'!H$20+France!H$31+France!H$35+France!H$36+France!H$37+France!H$30</f>
        <v>87859.49765465087</v>
      </c>
      <c r="I43" s="106">
        <v>98554.50096312245</v>
      </c>
      <c r="J43" s="106">
        <v>61343</v>
      </c>
      <c r="K43" s="106">
        <f>Belgium!K$19+Belgium!K$17+Denmark!K$26+Germany!K$25+Italy!K$28+Poland!K$24+Spain!K$15+Spain!K$16+Switzerland!K$23+Switzerland!K$25+Switzerland!K$27+Switzerland!K$26+Netherlands!K$14+UK!K$18+'Czech Republic'!K$17+'Czech Republic'!K$18+'Czech Republic'!K$19+'Czech Republic'!K$20+France!K$31+France!K$35+France!K$36+France!K$37+France!K$30</f>
        <v>74603.91193395917</v>
      </c>
      <c r="L43" s="106">
        <f>Belgium!L$19+Belgium!L$17+Denmark!L$26+Germany!L$25+Italy!L$28+Poland!L$24+Spain!L$15+Spain!L$16+Switzerland!L$23+Switzerland!L$25+Switzerland!L$27+Switzerland!L$26+Netherlands!L$14+UK!L$18+'Czech Republic'!L$17+'Czech Republic'!L$18+'Czech Republic'!L$19+'Czech Republic'!L$20+France!L$31+France!L$35+France!L$36+France!L$37+France!L$30</f>
        <v>90922.21025925576</v>
      </c>
      <c r="M43" s="106">
        <f>Belgium!M$19+Belgium!M$17+Denmark!M$26+Germany!M$25+Italy!M$28+Poland!M$24+Spain!M$15+Spain!M$16+Switzerland!M$23+Switzerland!M$25+Switzerland!M$27+Switzerland!M$26+Netherlands!M$14+UK!M$18+'Czech Republic'!M$17+'Czech Republic'!M$18+'Czech Republic'!M$19+'Czech Republic'!M$20+France!M$31+France!M$35+France!M$36+France!M$37+France!M$30</f>
        <v>86656.25149485737</v>
      </c>
      <c r="N43" s="106">
        <f>Belgium!N$19+Belgium!N$17+Denmark!N$26+Germany!N$25+Italy!N$28+Poland!N$24+Spain!N$15+Spain!N$16+Switzerland!N$23+Switzerland!N$25+Switzerland!N$27+Switzerland!N$26+Netherlands!N$14+UK!N$18+'Czech Republic'!N$17+'Czech Republic'!N$18+'Czech Republic'!N$19+'Czech Republic'!N$20+France!N$31+France!N$35+France!N$36+France!N$37+France!N$30</f>
        <v>125238.37619778604</v>
      </c>
      <c r="O43" s="106">
        <f>Belgium!O$19+Belgium!O$17+Denmark!O$26+Germany!O$25+Italy!O$28+Poland!O$24+Spain!O$15+Spain!O$16+Switzerland!O$23+Switzerland!O$25+Switzerland!O$27+Switzerland!O$26+Netherlands!O$14+UK!O$18+'Czech Republic'!O$17+'Czech Republic'!O$18+'Czech Republic'!O$19+'Czech Republic'!O$20+France!O$31+France!O$35+France!O$36+France!O$37+France!O$30</f>
        <v>63883</v>
      </c>
      <c r="P43" s="106">
        <f>Belgium!P$19+Denmark!P$26+Germany!P$25+Italy!P$28+Poland!P$24+Spain!P$15+Spain!P$16+Switzerland!P$23+Switzerland!P$25+Switzerland!P$27+Netherlands!P$14+UK!P$18+'Czech Republic'!P$17+'Czech Republic'!P$20+France!P$31+France!P$35+France!P$36+France!P$37+France!P$30</f>
        <v>100815</v>
      </c>
      <c r="Q43" s="106">
        <f>Belgium!Q$19+Denmark!Q$26+Germany!Q$25+Italy!Q$28+Poland!Q$24+Spain!Q$15+Spain!Q$16+Switzerland!Q$23+Switzerland!Q$25+Switzerland!Q$27+Netherlands!Q$14+UK!Q$18+'Czech Republic'!Q$17+'Czech Republic'!Q$20+France!Q$31+France!Q$35+France!Q$36+France!Q$37+France!Q$30</f>
        <v>56046</v>
      </c>
      <c r="R43" s="101">
        <f>Belgium!R$19+Denmark!R$26+Germany!R$25+Italy!R$28+Poland!R$24+Spain!R$15+Spain!R$16+Switzerland!R$23+Switzerland!R$25+Switzerland!R$27+Netherlands!R$14+UK!R$18+'Czech Republic'!R$17+'Czech Republic'!R$20+France!R$31+France!R$35+France!R$36+France!R$37+France!R$30</f>
        <v>77094</v>
      </c>
    </row>
    <row r="44" spans="1:18" ht="13.5" thickBot="1">
      <c r="A44" s="49" t="s">
        <v>93</v>
      </c>
      <c r="B44" s="50">
        <f>(E44-F44)/F44</f>
        <v>0.10070680585833096</v>
      </c>
      <c r="C44" s="158"/>
      <c r="D44" s="102"/>
      <c r="E44" s="51">
        <f>SUM(E36:E43)</f>
        <v>721704.8057752948</v>
      </c>
      <c r="F44" s="102">
        <f>SUM(F36:F43)</f>
        <v>655673.9741538252</v>
      </c>
      <c r="G44" s="102">
        <f>SUM(G36:G43)</f>
        <v>899278.2271927685</v>
      </c>
      <c r="H44" s="102">
        <f>SUM(H36:H43)</f>
        <v>681834.5628262326</v>
      </c>
      <c r="I44" s="102">
        <v>912620.9325072959</v>
      </c>
      <c r="J44" s="102">
        <v>815563</v>
      </c>
      <c r="K44" s="102">
        <f>SUM(K36:K43)</f>
        <v>835422.6662005847</v>
      </c>
      <c r="L44" s="102">
        <f aca="true" t="shared" si="4" ref="L44:R44">SUM(L36:L43)</f>
        <v>948631.4214491769</v>
      </c>
      <c r="M44" s="102">
        <f t="shared" si="4"/>
        <v>922229.3056882464</v>
      </c>
      <c r="N44" s="102">
        <f t="shared" si="4"/>
        <v>1020378.6730449015</v>
      </c>
      <c r="O44" s="102">
        <f t="shared" si="4"/>
        <v>644650</v>
      </c>
      <c r="P44" s="102">
        <f t="shared" si="4"/>
        <v>1030987</v>
      </c>
      <c r="Q44" s="102">
        <f t="shared" si="4"/>
        <v>683955</v>
      </c>
      <c r="R44" s="132">
        <f t="shared" si="4"/>
        <v>797892</v>
      </c>
    </row>
    <row r="45" ht="12.75">
      <c r="A45" s="33" t="s">
        <v>171</v>
      </c>
    </row>
    <row r="46" ht="12.75">
      <c r="A46" s="36"/>
    </row>
  </sheetData>
  <sheetProtection/>
  <printOptions/>
  <pageMargins left="0.75" right="0.75" top="1" bottom="1" header="0.5" footer="0.5"/>
  <pageSetup fitToHeight="3" fitToWidth="1" horizontalDpi="600" verticalDpi="600" orientation="landscape" paperSize="9" scale="83"/>
</worksheet>
</file>

<file path=xl/worksheets/sheet5.xml><?xml version="1.0" encoding="utf-8"?>
<worksheet xmlns="http://schemas.openxmlformats.org/spreadsheetml/2006/main" xmlns:r="http://schemas.openxmlformats.org/officeDocument/2006/relationships">
  <dimension ref="A1:V3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9.28125" style="33" customWidth="1"/>
    <col min="2" max="2" width="10.7109375" style="33" customWidth="1"/>
    <col min="3" max="4" width="11.421875" style="33" bestFit="1" customWidth="1"/>
    <col min="5" max="5" width="11.421875" style="33" customWidth="1"/>
    <col min="6" max="8" width="11.421875" style="84" customWidth="1"/>
    <col min="9" max="10" width="10.7109375" style="84" customWidth="1"/>
    <col min="11" max="11" width="10.140625" style="33" bestFit="1" customWidth="1"/>
    <col min="12" max="19" width="10.140625" style="59" bestFit="1" customWidth="1"/>
    <col min="20" max="21" width="10.140625" style="33" bestFit="1" customWidth="1"/>
    <col min="22" max="16384" width="9.140625" style="33" customWidth="1"/>
  </cols>
  <sheetData>
    <row r="1" spans="1:21" s="59" customFormat="1" ht="13.5" thickBot="1">
      <c r="A1" s="34" t="s">
        <v>23</v>
      </c>
      <c r="B1" s="17" t="s">
        <v>182</v>
      </c>
      <c r="C1" s="174" t="s">
        <v>183</v>
      </c>
      <c r="D1" s="55" t="s">
        <v>177</v>
      </c>
      <c r="E1" s="31">
        <v>44896</v>
      </c>
      <c r="F1" s="18">
        <v>44531</v>
      </c>
      <c r="G1" s="18">
        <v>44166</v>
      </c>
      <c r="H1" s="18">
        <v>43800</v>
      </c>
      <c r="I1" s="18">
        <v>43435</v>
      </c>
      <c r="J1" s="18">
        <v>43070</v>
      </c>
      <c r="K1" s="18">
        <v>42705</v>
      </c>
      <c r="L1" s="57">
        <v>42339</v>
      </c>
      <c r="M1" s="57">
        <v>41974</v>
      </c>
      <c r="N1" s="57">
        <v>41609</v>
      </c>
      <c r="O1" s="57">
        <v>41244</v>
      </c>
      <c r="P1" s="57">
        <v>40878</v>
      </c>
      <c r="Q1" s="57">
        <v>40513</v>
      </c>
      <c r="R1" s="57">
        <v>40148</v>
      </c>
      <c r="S1" s="57">
        <v>39783</v>
      </c>
      <c r="T1" s="35">
        <v>39417</v>
      </c>
      <c r="U1" s="98">
        <v>39052</v>
      </c>
    </row>
    <row r="2" spans="1:21" ht="12.75">
      <c r="A2" s="67" t="s">
        <v>100</v>
      </c>
      <c r="B2" s="68">
        <f aca="true" t="shared" si="0" ref="B2:B8">(E2-F2)/F2</f>
        <v>0.6653640179476047</v>
      </c>
      <c r="C2" s="198">
        <f>E2-'[1]Austria'!C2</f>
        <v>-109.36533732308385</v>
      </c>
      <c r="D2" s="108">
        <f>F2-'[1]Austria'!D2</f>
        <v>-157.1852052485856</v>
      </c>
      <c r="E2" s="182">
        <v>878.0525030525031</v>
      </c>
      <c r="F2" s="108">
        <v>527.2435897435897</v>
      </c>
      <c r="G2" s="108">
        <v>789.3499999999999</v>
      </c>
      <c r="H2" s="108">
        <v>849</v>
      </c>
      <c r="I2" s="108">
        <v>854</v>
      </c>
      <c r="J2" s="108">
        <v>337</v>
      </c>
      <c r="K2" s="43">
        <v>38.08</v>
      </c>
      <c r="L2" s="43">
        <v>1685.88</v>
      </c>
      <c r="M2" s="43">
        <v>1916.6399999999999</v>
      </c>
      <c r="N2" s="43">
        <v>1754</v>
      </c>
      <c r="O2" s="43">
        <v>1734</v>
      </c>
      <c r="P2" s="43"/>
      <c r="Q2" s="43">
        <v>2467</v>
      </c>
      <c r="R2" s="43">
        <v>2852</v>
      </c>
      <c r="S2" s="43">
        <v>3464</v>
      </c>
      <c r="T2" s="43">
        <v>2902</v>
      </c>
      <c r="U2" s="42">
        <v>2470</v>
      </c>
    </row>
    <row r="3" spans="1:21" ht="12.75">
      <c r="A3" s="67" t="s">
        <v>3</v>
      </c>
      <c r="B3" s="68">
        <f t="shared" si="0"/>
        <v>1.4742268041237114</v>
      </c>
      <c r="C3" s="198">
        <f>E3-'[1]Austria'!C3</f>
        <v>-99.06103286384973</v>
      </c>
      <c r="D3" s="108">
        <f>F3-'[1]Austria'!D3</f>
        <v>-104.71439749608763</v>
      </c>
      <c r="E3" s="182">
        <v>333.33333333333337</v>
      </c>
      <c r="F3" s="108">
        <v>134.72222222222223</v>
      </c>
      <c r="G3" s="108">
        <v>28.6</v>
      </c>
      <c r="H3" s="108">
        <v>0</v>
      </c>
      <c r="I3" s="108">
        <v>105</v>
      </c>
      <c r="J3" s="108">
        <v>10</v>
      </c>
      <c r="K3" s="43">
        <v>3.36</v>
      </c>
      <c r="L3" s="43">
        <v>66.08</v>
      </c>
      <c r="M3" s="43">
        <v>57</v>
      </c>
      <c r="N3" s="43">
        <v>84</v>
      </c>
      <c r="O3" s="43">
        <v>36</v>
      </c>
      <c r="P3" s="43"/>
      <c r="Q3" s="43">
        <v>0</v>
      </c>
      <c r="R3" s="43">
        <v>49</v>
      </c>
      <c r="S3" s="43">
        <v>18</v>
      </c>
      <c r="T3" s="43"/>
      <c r="U3" s="42"/>
    </row>
    <row r="4" spans="1:21" ht="12.75">
      <c r="A4" s="67" t="s">
        <v>10</v>
      </c>
      <c r="B4" s="68">
        <f t="shared" si="0"/>
        <v>0.3390503835120916</v>
      </c>
      <c r="C4" s="198">
        <f>E4-'[1]Austria'!C4</f>
        <v>36.96022287571577</v>
      </c>
      <c r="D4" s="108">
        <f>F4-'[1]Austria'!D4</f>
        <v>1196.5865707062885</v>
      </c>
      <c r="E4" s="182">
        <v>10181.01343101343</v>
      </c>
      <c r="F4" s="108">
        <v>7603.15934065934</v>
      </c>
      <c r="G4" s="108">
        <v>7880.200000000001</v>
      </c>
      <c r="H4" s="108">
        <v>9430</v>
      </c>
      <c r="I4" s="108">
        <v>11892</v>
      </c>
      <c r="J4" s="108">
        <v>5419</v>
      </c>
      <c r="K4" s="43">
        <v>2348.52</v>
      </c>
      <c r="L4" s="43">
        <v>13178.04</v>
      </c>
      <c r="M4" s="43">
        <v>13629.16</v>
      </c>
      <c r="N4" s="43">
        <v>13074</v>
      </c>
      <c r="O4" s="43">
        <v>12295</v>
      </c>
      <c r="P4" s="43"/>
      <c r="Q4" s="43">
        <v>16218</v>
      </c>
      <c r="R4" s="43">
        <v>16455</v>
      </c>
      <c r="S4" s="43">
        <v>13063</v>
      </c>
      <c r="T4" s="43">
        <v>12769</v>
      </c>
      <c r="U4" s="42">
        <v>9929</v>
      </c>
    </row>
    <row r="5" spans="1:21" ht="12.75">
      <c r="A5" s="67" t="s">
        <v>1</v>
      </c>
      <c r="B5" s="68">
        <f t="shared" si="0"/>
        <v>0.6172398473960699</v>
      </c>
      <c r="C5" s="198">
        <f>E5-'[1]Austria'!C5</f>
        <v>-694.3476671997796</v>
      </c>
      <c r="D5" s="108">
        <f>F5-'[1]Austria'!D5</f>
        <v>-639.5867082838913</v>
      </c>
      <c r="E5" s="182">
        <v>5389.392551892553</v>
      </c>
      <c r="F5" s="108">
        <v>3332.4633699633696</v>
      </c>
      <c r="G5" s="108">
        <v>2503.8</v>
      </c>
      <c r="H5" s="108">
        <v>2772</v>
      </c>
      <c r="I5" s="108">
        <v>4874</v>
      </c>
      <c r="J5" s="108">
        <v>1618</v>
      </c>
      <c r="K5" s="43">
        <v>133.28</v>
      </c>
      <c r="L5" s="43">
        <v>3161.64</v>
      </c>
      <c r="M5" s="43">
        <v>3389.12</v>
      </c>
      <c r="N5" s="43">
        <v>3360</v>
      </c>
      <c r="O5" s="43">
        <v>3193</v>
      </c>
      <c r="P5" s="43"/>
      <c r="Q5" s="43">
        <v>4222</v>
      </c>
      <c r="R5" s="43">
        <v>4710</v>
      </c>
      <c r="S5" s="43">
        <v>4086</v>
      </c>
      <c r="T5" s="43">
        <v>5017</v>
      </c>
      <c r="U5" s="42">
        <v>5616</v>
      </c>
    </row>
    <row r="6" spans="1:21" ht="12.75">
      <c r="A6" s="67" t="s">
        <v>142</v>
      </c>
      <c r="B6" s="68">
        <f t="shared" si="0"/>
        <v>0.3412680247196154</v>
      </c>
      <c r="C6" s="198">
        <f>E6-'[1]Austria'!C6</f>
        <v>-428.7167449139288</v>
      </c>
      <c r="D6" s="108">
        <f>F6-'[1]Austria'!D6</f>
        <v>-277.0148669796554</v>
      </c>
      <c r="E6" s="182">
        <v>8138.888888888889</v>
      </c>
      <c r="F6" s="108">
        <v>6068.055555555556</v>
      </c>
      <c r="G6" s="108">
        <v>12571.75</v>
      </c>
      <c r="H6" s="108">
        <v>9860</v>
      </c>
      <c r="I6" s="108">
        <v>8898</v>
      </c>
      <c r="J6" s="108">
        <v>4982</v>
      </c>
      <c r="K6" s="43">
        <v>3019.52</v>
      </c>
      <c r="L6" s="43">
        <v>6138.72</v>
      </c>
      <c r="M6" s="43">
        <v>5300.96</v>
      </c>
      <c r="N6" s="43">
        <v>3322</v>
      </c>
      <c r="O6" s="43">
        <v>2267</v>
      </c>
      <c r="P6" s="43"/>
      <c r="Q6" s="43">
        <v>811</v>
      </c>
      <c r="R6" s="43"/>
      <c r="S6" s="43"/>
      <c r="T6" s="43"/>
      <c r="U6" s="42"/>
    </row>
    <row r="7" spans="1:21" ht="12.75">
      <c r="A7" s="107" t="s">
        <v>11</v>
      </c>
      <c r="B7" s="68">
        <f t="shared" si="0"/>
        <v>0.024516335645619752</v>
      </c>
      <c r="C7" s="198">
        <f>E7-'[1]Austria'!C7</f>
        <v>127.87898330151847</v>
      </c>
      <c r="D7" s="108">
        <f>F7-'[1]Austria'!D7</f>
        <v>948.1136820925553</v>
      </c>
      <c r="E7" s="182">
        <v>2734.2796092796093</v>
      </c>
      <c r="F7" s="108">
        <v>2668.8492063492063</v>
      </c>
      <c r="G7" s="108">
        <v>2174.15</v>
      </c>
      <c r="H7" s="108">
        <v>2371</v>
      </c>
      <c r="I7" s="108">
        <v>3163</v>
      </c>
      <c r="J7" s="108">
        <v>1686</v>
      </c>
      <c r="K7" s="43">
        <v>667.52</v>
      </c>
      <c r="L7" s="108">
        <v>2796.64</v>
      </c>
      <c r="M7" s="108">
        <v>2890.52</v>
      </c>
      <c r="N7" s="108">
        <v>2582</v>
      </c>
      <c r="O7" s="108">
        <v>1907</v>
      </c>
      <c r="P7" s="108"/>
      <c r="Q7" s="108">
        <v>1849</v>
      </c>
      <c r="R7" s="108">
        <v>3253</v>
      </c>
      <c r="S7" s="108">
        <v>1418</v>
      </c>
      <c r="T7" s="43"/>
      <c r="U7" s="42"/>
    </row>
    <row r="8" spans="1:21" ht="12.75">
      <c r="A8" s="67" t="s">
        <v>8</v>
      </c>
      <c r="B8" s="68">
        <f t="shared" si="0"/>
        <v>0.2752354947103307</v>
      </c>
      <c r="C8" s="198">
        <f>E8-'[1]Austria'!C8</f>
        <v>-3342.9922698584705</v>
      </c>
      <c r="D8" s="108">
        <f>F8-'[1]Austria'!D8</f>
        <v>-2753.3970489604326</v>
      </c>
      <c r="E8" s="182">
        <v>31220.497557997558</v>
      </c>
      <c r="F8" s="108">
        <v>24482.142857142855</v>
      </c>
      <c r="G8" s="108">
        <v>18987.25</v>
      </c>
      <c r="H8" s="108">
        <v>22351</v>
      </c>
      <c r="I8" s="108">
        <v>25242</v>
      </c>
      <c r="J8" s="108">
        <v>12675</v>
      </c>
      <c r="K8" s="43">
        <v>2041.08</v>
      </c>
      <c r="L8" s="43">
        <v>26453.64</v>
      </c>
      <c r="M8" s="43">
        <v>21585.4</v>
      </c>
      <c r="N8" s="43">
        <v>23640</v>
      </c>
      <c r="O8" s="43">
        <v>19598</v>
      </c>
      <c r="P8" s="43"/>
      <c r="Q8" s="43">
        <v>25790</v>
      </c>
      <c r="R8" s="43">
        <v>23069</v>
      </c>
      <c r="S8" s="43">
        <v>19514</v>
      </c>
      <c r="T8" s="43">
        <v>19815</v>
      </c>
      <c r="U8" s="42">
        <v>13598</v>
      </c>
    </row>
    <row r="9" spans="1:21" ht="12.75">
      <c r="A9" s="67" t="s">
        <v>13</v>
      </c>
      <c r="B9" s="68"/>
      <c r="C9" s="198">
        <f>E9-'[1]Austria'!C9</f>
        <v>0</v>
      </c>
      <c r="D9" s="108">
        <f>F9-'[1]Austria'!D9</f>
        <v>0</v>
      </c>
      <c r="E9" s="182"/>
      <c r="F9" s="108"/>
      <c r="G9" s="108"/>
      <c r="H9" s="108"/>
      <c r="I9" s="108">
        <v>0</v>
      </c>
      <c r="J9" s="108"/>
      <c r="K9" s="43"/>
      <c r="L9" s="43"/>
      <c r="M9" s="43"/>
      <c r="N9" s="43"/>
      <c r="O9" s="43"/>
      <c r="P9" s="43"/>
      <c r="Q9" s="43">
        <v>21</v>
      </c>
      <c r="R9" s="43">
        <v>568</v>
      </c>
      <c r="S9" s="43">
        <v>170</v>
      </c>
      <c r="T9" s="43">
        <v>163</v>
      </c>
      <c r="U9" s="42">
        <v>367</v>
      </c>
    </row>
    <row r="10" spans="1:21" ht="12.75">
      <c r="A10" s="67" t="s">
        <v>2</v>
      </c>
      <c r="B10" s="68">
        <f>(E10-F10)/F10</f>
        <v>-0.07129968943064333</v>
      </c>
      <c r="C10" s="198">
        <f>E10-'[1]Austria'!C10</f>
        <v>-2289.346764346763</v>
      </c>
      <c r="D10" s="108">
        <f>F10-'[1]Austria'!D10</f>
        <v>-1239.7720081170773</v>
      </c>
      <c r="E10" s="182">
        <v>27643.98656898657</v>
      </c>
      <c r="F10" s="108">
        <v>29766.315628815628</v>
      </c>
      <c r="G10" s="108">
        <v>31349.649999999998</v>
      </c>
      <c r="H10" s="108">
        <v>28929</v>
      </c>
      <c r="I10" s="108">
        <v>27674</v>
      </c>
      <c r="J10" s="108">
        <v>25638</v>
      </c>
      <c r="K10" s="43">
        <v>19195.52</v>
      </c>
      <c r="L10" s="43">
        <v>43246.4</v>
      </c>
      <c r="M10" s="43">
        <v>49764.6</v>
      </c>
      <c r="N10" s="43">
        <v>34928</v>
      </c>
      <c r="O10" s="43">
        <v>45592</v>
      </c>
      <c r="P10" s="43"/>
      <c r="Q10" s="43">
        <v>49057</v>
      </c>
      <c r="R10" s="43">
        <v>45463</v>
      </c>
      <c r="S10" s="43">
        <v>48704</v>
      </c>
      <c r="T10" s="43">
        <v>47502</v>
      </c>
      <c r="U10" s="42">
        <v>39970</v>
      </c>
    </row>
    <row r="11" spans="1:21" ht="12.75">
      <c r="A11" s="67" t="s">
        <v>16</v>
      </c>
      <c r="B11" s="68">
        <f>(E11-F11)/F11</f>
        <v>0.3398176291793314</v>
      </c>
      <c r="C11" s="198">
        <f>E11-'[1]Austria'!C11</f>
        <v>-137.0393299970765</v>
      </c>
      <c r="D11" s="108">
        <f>F11-'[1]Austria'!D11</f>
        <v>-152.42385939569033</v>
      </c>
      <c r="E11" s="182">
        <v>1143.7118437118438</v>
      </c>
      <c r="F11" s="108">
        <v>853.6324786324786</v>
      </c>
      <c r="G11" s="108">
        <v>549.35</v>
      </c>
      <c r="H11" s="108">
        <v>596</v>
      </c>
      <c r="I11" s="108">
        <v>227</v>
      </c>
      <c r="J11" s="108">
        <v>160</v>
      </c>
      <c r="K11" s="43">
        <v>60.480000000000004</v>
      </c>
      <c r="L11" s="108">
        <v>293.44</v>
      </c>
      <c r="M11" s="108">
        <v>827.6800000000001</v>
      </c>
      <c r="N11" s="108">
        <v>202</v>
      </c>
      <c r="O11" s="108">
        <v>142</v>
      </c>
      <c r="P11" s="108"/>
      <c r="Q11" s="108">
        <v>257</v>
      </c>
      <c r="R11" s="108">
        <v>125</v>
      </c>
      <c r="S11" s="108">
        <v>99</v>
      </c>
      <c r="T11" s="43"/>
      <c r="U11" s="42"/>
    </row>
    <row r="12" spans="1:21" ht="12.75">
      <c r="A12" s="109" t="s">
        <v>9</v>
      </c>
      <c r="B12" s="68">
        <f>(E12-F12)/F12</f>
        <v>0.29445680564960824</v>
      </c>
      <c r="C12" s="198">
        <f>E12-'[1]Austria'!C12</f>
        <v>-204.32079657431768</v>
      </c>
      <c r="D12" s="108">
        <f>F12-'[1]Austria'!D12</f>
        <v>125.76480249015458</v>
      </c>
      <c r="E12" s="182">
        <v>5105.616605616606</v>
      </c>
      <c r="F12" s="108">
        <v>3944.2155067155068</v>
      </c>
      <c r="G12" s="108">
        <v>5727.5</v>
      </c>
      <c r="H12" s="108">
        <v>6177</v>
      </c>
      <c r="I12" s="108">
        <v>10625</v>
      </c>
      <c r="J12" s="108">
        <v>4267</v>
      </c>
      <c r="K12" s="43">
        <v>379.52</v>
      </c>
      <c r="L12" s="108">
        <v>15606.119999999999</v>
      </c>
      <c r="M12" s="108">
        <v>15631.96</v>
      </c>
      <c r="N12" s="108">
        <v>18639</v>
      </c>
      <c r="O12" s="108">
        <v>14767</v>
      </c>
      <c r="P12" s="108"/>
      <c r="Q12" s="108">
        <v>21424</v>
      </c>
      <c r="R12" s="108">
        <v>22753</v>
      </c>
      <c r="S12" s="108">
        <v>20329</v>
      </c>
      <c r="T12" s="43">
        <v>20814</v>
      </c>
      <c r="U12" s="42">
        <v>21653</v>
      </c>
    </row>
    <row r="13" spans="1:21" ht="12.75">
      <c r="A13" s="109" t="s">
        <v>26</v>
      </c>
      <c r="B13" s="68">
        <f>(E13-F13)/F13</f>
        <v>0.3421374639356675</v>
      </c>
      <c r="C13" s="198">
        <f>E13-'[1]Austria'!C13</f>
        <v>40.12751724019381</v>
      </c>
      <c r="D13" s="108">
        <f>F13-'[1]Austria'!D13</f>
        <v>-524.0961581454544</v>
      </c>
      <c r="E13" s="182">
        <v>5005.463980463981</v>
      </c>
      <c r="F13" s="108">
        <v>3729.471916971917</v>
      </c>
      <c r="G13" s="108">
        <v>2869.3999999999996</v>
      </c>
      <c r="H13" s="108">
        <v>6004</v>
      </c>
      <c r="I13" s="108">
        <v>8282</v>
      </c>
      <c r="J13" s="108">
        <v>3834</v>
      </c>
      <c r="K13" s="43">
        <v>1535.4</v>
      </c>
      <c r="L13" s="108">
        <v>8652.68</v>
      </c>
      <c r="M13" s="108">
        <v>9490.36</v>
      </c>
      <c r="N13" s="108">
        <v>8354</v>
      </c>
      <c r="O13" s="108">
        <v>7434</v>
      </c>
      <c r="P13" s="108"/>
      <c r="Q13" s="108">
        <v>10986</v>
      </c>
      <c r="R13" s="108">
        <v>11443</v>
      </c>
      <c r="S13" s="108">
        <v>8368</v>
      </c>
      <c r="T13" s="43">
        <v>10033</v>
      </c>
      <c r="U13" s="42">
        <v>10243</v>
      </c>
    </row>
    <row r="14" spans="1:21" ht="12.75">
      <c r="A14" s="107" t="s">
        <v>25</v>
      </c>
      <c r="B14" s="68"/>
      <c r="C14" s="198">
        <f>E14-'[1]Austria'!C14</f>
        <v>0</v>
      </c>
      <c r="D14" s="108">
        <f>F14-'[1]Austria'!D14</f>
        <v>0</v>
      </c>
      <c r="E14" s="182">
        <v>0</v>
      </c>
      <c r="F14" s="108">
        <v>0</v>
      </c>
      <c r="G14" s="108">
        <v>0</v>
      </c>
      <c r="H14" s="108">
        <v>0</v>
      </c>
      <c r="I14" s="108">
        <v>0</v>
      </c>
      <c r="J14" s="108">
        <v>0</v>
      </c>
      <c r="K14" s="43">
        <v>42.56</v>
      </c>
      <c r="L14" s="108">
        <v>2704.8</v>
      </c>
      <c r="M14" s="108">
        <v>3288.32</v>
      </c>
      <c r="N14" s="108">
        <v>3573</v>
      </c>
      <c r="O14" s="108">
        <v>2921</v>
      </c>
      <c r="P14" s="108"/>
      <c r="Q14" s="108">
        <v>4541</v>
      </c>
      <c r="R14" s="108">
        <v>5643</v>
      </c>
      <c r="S14" s="108">
        <v>4002</v>
      </c>
      <c r="T14" s="43"/>
      <c r="U14" s="42"/>
    </row>
    <row r="15" spans="1:21" ht="12.75">
      <c r="A15" s="107" t="s">
        <v>101</v>
      </c>
      <c r="B15" s="68">
        <f>(E15-F15)/F15</f>
        <v>-0.103658818204491</v>
      </c>
      <c r="C15" s="198">
        <f>E15-'[1]Austria'!C15</f>
        <v>-528.2357822146555</v>
      </c>
      <c r="D15" s="108">
        <f>F15-'[1]Austria'!D15</f>
        <v>-367.91445252712856</v>
      </c>
      <c r="E15" s="182">
        <v>1481.0286935286936</v>
      </c>
      <c r="F15" s="108">
        <v>1652.3046398046397</v>
      </c>
      <c r="G15" s="108">
        <v>1273.45</v>
      </c>
      <c r="H15" s="108">
        <v>805</v>
      </c>
      <c r="I15" s="108">
        <v>804</v>
      </c>
      <c r="J15" s="108">
        <v>100</v>
      </c>
      <c r="K15" s="43">
        <v>15.68</v>
      </c>
      <c r="L15" s="108">
        <v>514.96</v>
      </c>
      <c r="M15" s="108">
        <v>117.6</v>
      </c>
      <c r="N15" s="108">
        <v>446</v>
      </c>
      <c r="O15" s="108">
        <v>37</v>
      </c>
      <c r="P15" s="108"/>
      <c r="Q15" s="108">
        <v>131</v>
      </c>
      <c r="R15" s="108">
        <v>317</v>
      </c>
      <c r="S15" s="108">
        <v>79</v>
      </c>
      <c r="T15" s="43"/>
      <c r="U15" s="42"/>
    </row>
    <row r="16" spans="1:21" ht="12.75">
      <c r="A16" s="107" t="s">
        <v>12</v>
      </c>
      <c r="B16" s="68">
        <f>(E16-F16)/F16</f>
        <v>0.4656282675564007</v>
      </c>
      <c r="C16" s="198">
        <f>E16-'[1]Austria'!C16</f>
        <v>-292.7861614129224</v>
      </c>
      <c r="D16" s="108">
        <f>F16-'[1]Austria'!D16</f>
        <v>-431.2173468159381</v>
      </c>
      <c r="E16" s="182">
        <v>6610.515873015873</v>
      </c>
      <c r="F16" s="108">
        <v>4510.363247863248</v>
      </c>
      <c r="G16" s="108">
        <v>747.65</v>
      </c>
      <c r="H16" s="108">
        <v>939</v>
      </c>
      <c r="I16" s="108">
        <v>1893</v>
      </c>
      <c r="J16" s="108">
        <v>685</v>
      </c>
      <c r="K16" s="43">
        <v>533.76</v>
      </c>
      <c r="L16" s="108">
        <v>1761.68</v>
      </c>
      <c r="M16" s="108">
        <v>2238.72</v>
      </c>
      <c r="N16" s="108">
        <v>2079</v>
      </c>
      <c r="O16" s="108">
        <v>1975</v>
      </c>
      <c r="P16" s="108"/>
      <c r="Q16" s="108">
        <v>2683</v>
      </c>
      <c r="R16" s="108">
        <v>2845</v>
      </c>
      <c r="S16" s="108">
        <v>2283</v>
      </c>
      <c r="T16" s="43"/>
      <c r="U16" s="42"/>
    </row>
    <row r="17" spans="1:21" ht="12.75">
      <c r="A17" s="107" t="s">
        <v>97</v>
      </c>
      <c r="B17" s="68">
        <f>(E17-F17)/F17</f>
        <v>0.9891926434134116</v>
      </c>
      <c r="C17" s="198">
        <f>E17-'[1]Austria'!C17</f>
        <v>-131.54701714560906</v>
      </c>
      <c r="D17" s="108">
        <f>F17-'[1]Austria'!D17</f>
        <v>-48.87250855560751</v>
      </c>
      <c r="E17" s="182">
        <v>4323.366910866911</v>
      </c>
      <c r="F17" s="108">
        <v>2173.4279609279606</v>
      </c>
      <c r="G17" s="108">
        <v>1722.1</v>
      </c>
      <c r="H17" s="108">
        <v>2143</v>
      </c>
      <c r="I17" s="108">
        <v>1831</v>
      </c>
      <c r="J17" s="108">
        <v>541</v>
      </c>
      <c r="K17" s="43"/>
      <c r="L17" s="108"/>
      <c r="M17" s="108"/>
      <c r="N17" s="108"/>
      <c r="O17" s="108"/>
      <c r="P17" s="108"/>
      <c r="Q17" s="108"/>
      <c r="R17" s="108"/>
      <c r="S17" s="108"/>
      <c r="T17" s="43"/>
      <c r="U17" s="42"/>
    </row>
    <row r="18" spans="1:21" ht="12.75">
      <c r="A18" s="107" t="s">
        <v>102</v>
      </c>
      <c r="B18" s="68"/>
      <c r="C18" s="198">
        <f>E18-'[1]Austria'!C18</f>
        <v>0</v>
      </c>
      <c r="D18" s="108">
        <f>F18-'[1]Austria'!D18</f>
        <v>0</v>
      </c>
      <c r="E18" s="182"/>
      <c r="F18" s="108"/>
      <c r="G18" s="108">
        <v>62.4</v>
      </c>
      <c r="H18" s="108">
        <v>14</v>
      </c>
      <c r="I18" s="108">
        <v>68</v>
      </c>
      <c r="J18" s="108">
        <v>10</v>
      </c>
      <c r="K18" s="43">
        <v>0</v>
      </c>
      <c r="L18" s="43">
        <v>59.36</v>
      </c>
      <c r="M18" s="43">
        <v>36.96</v>
      </c>
      <c r="N18" s="43">
        <v>57</v>
      </c>
      <c r="O18" s="43">
        <v>21</v>
      </c>
      <c r="P18" s="43"/>
      <c r="Q18" s="43">
        <v>112</v>
      </c>
      <c r="R18" s="43">
        <v>253</v>
      </c>
      <c r="S18" s="43">
        <v>194</v>
      </c>
      <c r="T18" s="43"/>
      <c r="U18" s="42"/>
    </row>
    <row r="19" spans="1:21" ht="12.75">
      <c r="A19" s="107" t="s">
        <v>103</v>
      </c>
      <c r="B19" s="68">
        <f>(E19-F19)/F19</f>
        <v>0.760286975874402</v>
      </c>
      <c r="C19" s="198">
        <f>E19-'[1]Austria'!C19</f>
        <v>-280.5494935424513</v>
      </c>
      <c r="D19" s="108">
        <f>F19-'[1]Austria'!D19</f>
        <v>-128.3307967462897</v>
      </c>
      <c r="E19" s="182">
        <v>3778.464590964591</v>
      </c>
      <c r="F19" s="108">
        <v>2146.504884004884</v>
      </c>
      <c r="G19" s="108">
        <v>1030.45</v>
      </c>
      <c r="H19" s="108">
        <v>2300</v>
      </c>
      <c r="I19" s="108">
        <v>5513</v>
      </c>
      <c r="J19" s="108">
        <v>918</v>
      </c>
      <c r="K19" s="43">
        <v>768.52</v>
      </c>
      <c r="L19" s="43">
        <v>4714</v>
      </c>
      <c r="M19" s="43">
        <v>4102.28</v>
      </c>
      <c r="N19" s="43">
        <v>4129</v>
      </c>
      <c r="O19" s="43">
        <v>1573</v>
      </c>
      <c r="P19" s="43"/>
      <c r="Q19" s="43">
        <v>3130</v>
      </c>
      <c r="R19" s="43">
        <v>4038</v>
      </c>
      <c r="S19" s="43">
        <v>297</v>
      </c>
      <c r="T19" s="43"/>
      <c r="U19" s="42"/>
    </row>
    <row r="20" spans="1:21" ht="13.5" thickBot="1">
      <c r="A20" s="107" t="s">
        <v>58</v>
      </c>
      <c r="B20" s="68">
        <f>(E20-F20)/F20</f>
        <v>0.8052530197259798</v>
      </c>
      <c r="C20" s="198">
        <f>E20-'[1]Austria'!C20</f>
        <v>-758.2719393282769</v>
      </c>
      <c r="D20" s="108">
        <f>F20-'[1]Austria'!D20</f>
        <v>-222.3587679925713</v>
      </c>
      <c r="E20" s="182">
        <v>7609.615384615385</v>
      </c>
      <c r="F20" s="108">
        <v>4215.262515262515</v>
      </c>
      <c r="G20" s="108">
        <v>2837.6499999999996</v>
      </c>
      <c r="H20" s="108">
        <v>1877</v>
      </c>
      <c r="I20" s="108">
        <v>3485</v>
      </c>
      <c r="J20" s="108">
        <v>273</v>
      </c>
      <c r="K20" s="43">
        <v>370.08</v>
      </c>
      <c r="L20" s="108">
        <v>397.24</v>
      </c>
      <c r="M20" s="108">
        <v>472.04</v>
      </c>
      <c r="N20" s="108">
        <v>1913</v>
      </c>
      <c r="O20" s="108">
        <v>569</v>
      </c>
      <c r="P20" s="108"/>
      <c r="Q20" s="108">
        <v>603</v>
      </c>
      <c r="R20" s="108">
        <v>994</v>
      </c>
      <c r="S20" s="108">
        <v>2373</v>
      </c>
      <c r="T20" s="43">
        <v>12651</v>
      </c>
      <c r="U20" s="70">
        <v>11437</v>
      </c>
    </row>
    <row r="21" spans="1:21" ht="13.5" thickBot="1">
      <c r="A21" s="216" t="s">
        <v>22</v>
      </c>
      <c r="B21" s="50">
        <f>(E21-F21)/F21</f>
        <v>0.24301755090085828</v>
      </c>
      <c r="C21" s="197">
        <f>E21-'[1]Austria'!C21</f>
        <v>-9091.61361330375</v>
      </c>
      <c r="D21" s="102">
        <f>F21-'[1]Austria'!D21</f>
        <v>-4776.419069975396</v>
      </c>
      <c r="E21" s="51">
        <f>SUM(E2:E20)</f>
        <v>121577.22832722834</v>
      </c>
      <c r="F21" s="102">
        <f>SUM(F2:F20)</f>
        <v>97808.13492063493</v>
      </c>
      <c r="G21" s="102">
        <f>SUM(G2:G20)</f>
        <v>93104.69999999998</v>
      </c>
      <c r="H21" s="102">
        <f>SUM(H2:H20)</f>
        <v>97417</v>
      </c>
      <c r="I21" s="102">
        <v>115430</v>
      </c>
      <c r="J21" s="102">
        <v>63153</v>
      </c>
      <c r="K21" s="102">
        <f>SUM(K2:K20)</f>
        <v>31152.880000000005</v>
      </c>
      <c r="L21" s="102">
        <f>SUM(L2:L20)</f>
        <v>131431.32</v>
      </c>
      <c r="M21" s="102">
        <f>SUM(M2:M20)</f>
        <v>134739.32</v>
      </c>
      <c r="N21" s="102">
        <f>SUM(N2:N20)</f>
        <v>122136</v>
      </c>
      <c r="O21" s="102">
        <f aca="true" t="shared" si="1" ref="O21:U21">SUM(O2:O20)</f>
        <v>116061</v>
      </c>
      <c r="P21" s="102"/>
      <c r="Q21" s="102">
        <f t="shared" si="1"/>
        <v>144302</v>
      </c>
      <c r="R21" s="102">
        <f t="shared" si="1"/>
        <v>144830</v>
      </c>
      <c r="S21" s="102">
        <f t="shared" si="1"/>
        <v>128461</v>
      </c>
      <c r="T21" s="102">
        <f t="shared" si="1"/>
        <v>131666</v>
      </c>
      <c r="U21" s="53">
        <f t="shared" si="1"/>
        <v>115283</v>
      </c>
    </row>
    <row r="22" spans="2:22" s="84" customFormat="1" ht="12.75"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65"/>
      <c r="M22" s="65"/>
      <c r="N22" s="65"/>
      <c r="O22" s="65"/>
      <c r="P22" s="65"/>
      <c r="Q22" s="65"/>
      <c r="R22" s="65"/>
      <c r="S22" s="65"/>
      <c r="V22" s="83"/>
    </row>
    <row r="23" spans="12:21" ht="12.75">
      <c r="L23" s="41"/>
      <c r="M23" s="41"/>
      <c r="N23" s="41"/>
      <c r="O23" s="41"/>
      <c r="P23" s="41"/>
      <c r="Q23" s="41"/>
      <c r="R23" s="41"/>
      <c r="S23" s="41"/>
      <c r="U23" s="85"/>
    </row>
    <row r="27" spans="20:22" ht="18">
      <c r="T27" s="113"/>
      <c r="U27" s="85"/>
      <c r="V27" s="85"/>
    </row>
    <row r="28" spans="20:22" ht="18">
      <c r="T28" s="113"/>
      <c r="U28" s="85"/>
      <c r="V28" s="85"/>
    </row>
    <row r="29" spans="20:22" ht="18">
      <c r="T29" s="113"/>
      <c r="U29" s="85"/>
      <c r="V29" s="85"/>
    </row>
    <row r="30" spans="20:22" ht="18">
      <c r="T30" s="113"/>
      <c r="U30" s="85"/>
      <c r="V30" s="85"/>
    </row>
    <row r="31" spans="20:22" ht="18">
      <c r="T31" s="113"/>
      <c r="U31" s="85"/>
      <c r="V31" s="85"/>
    </row>
    <row r="32" spans="20:22" ht="18">
      <c r="T32" s="113"/>
      <c r="U32" s="85"/>
      <c r="V32" s="85"/>
    </row>
    <row r="33" spans="20:22" ht="18">
      <c r="T33" s="113"/>
      <c r="U33" s="85"/>
      <c r="V33" s="85"/>
    </row>
    <row r="34" spans="20:22" ht="18">
      <c r="T34" s="113"/>
      <c r="U34" s="85"/>
      <c r="V34" s="85"/>
    </row>
    <row r="35" spans="20:22" ht="18">
      <c r="T35" s="113"/>
      <c r="U35" s="85"/>
      <c r="V35" s="85"/>
    </row>
    <row r="36" spans="20:22" ht="18">
      <c r="T36" s="113"/>
      <c r="U36" s="85"/>
      <c r="V36" s="85"/>
    </row>
    <row r="37" spans="20:22" ht="18">
      <c r="T37" s="114"/>
      <c r="U37" s="85"/>
      <c r="V37" s="85"/>
    </row>
    <row r="38" spans="20:22" ht="18">
      <c r="T38" s="115"/>
      <c r="U38" s="116"/>
      <c r="V38" s="116"/>
    </row>
  </sheetData>
  <sheetProtection/>
  <printOptions/>
  <pageMargins left="0.75" right="0.75" top="1" bottom="1" header="0.5" footer="0.5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V3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9.28125" style="33" customWidth="1"/>
    <col min="2" max="2" width="10.7109375" style="33" customWidth="1"/>
    <col min="3" max="4" width="11.421875" style="33" bestFit="1" customWidth="1"/>
    <col min="5" max="5" width="11.421875" style="33" customWidth="1"/>
    <col min="6" max="8" width="11.421875" style="84" customWidth="1"/>
    <col min="9" max="10" width="10.7109375" style="84" customWidth="1"/>
    <col min="11" max="11" width="10.140625" style="33" bestFit="1" customWidth="1"/>
    <col min="12" max="19" width="10.140625" style="59" bestFit="1" customWidth="1"/>
    <col min="20" max="21" width="10.140625" style="33" bestFit="1" customWidth="1"/>
    <col min="22" max="16384" width="9.140625" style="33" customWidth="1"/>
  </cols>
  <sheetData>
    <row r="1" spans="1:21" s="59" customFormat="1" ht="13.5" thickBot="1">
      <c r="A1" s="34" t="s">
        <v>23</v>
      </c>
      <c r="B1" s="17" t="s">
        <v>182</v>
      </c>
      <c r="C1" s="174" t="s">
        <v>183</v>
      </c>
      <c r="D1" s="55" t="s">
        <v>177</v>
      </c>
      <c r="E1" s="31">
        <v>44896</v>
      </c>
      <c r="F1" s="18">
        <v>44531</v>
      </c>
      <c r="G1" s="18">
        <v>44166</v>
      </c>
      <c r="H1" s="18">
        <v>43800</v>
      </c>
      <c r="I1" s="18">
        <v>43435</v>
      </c>
      <c r="J1" s="18">
        <v>43070</v>
      </c>
      <c r="K1" s="18">
        <v>42705</v>
      </c>
      <c r="L1" s="57">
        <v>42339</v>
      </c>
      <c r="M1" s="57">
        <v>41974</v>
      </c>
      <c r="N1" s="57">
        <v>41609</v>
      </c>
      <c r="O1" s="57">
        <v>41244</v>
      </c>
      <c r="P1" s="57">
        <v>40878</v>
      </c>
      <c r="Q1" s="57">
        <v>40513</v>
      </c>
      <c r="R1" s="57">
        <v>40148</v>
      </c>
      <c r="S1" s="57">
        <v>39783</v>
      </c>
      <c r="T1" s="35">
        <v>39417</v>
      </c>
      <c r="U1" s="98">
        <v>39052</v>
      </c>
    </row>
    <row r="2" spans="1:21" ht="12.75">
      <c r="A2" s="67" t="s">
        <v>3</v>
      </c>
      <c r="B2" s="68">
        <f>(E2-F2)/F2</f>
        <v>-0.3004448038819248</v>
      </c>
      <c r="C2" s="198">
        <f>E2-'[1]Belgium'!C2</f>
        <v>-1158.8748340606244</v>
      </c>
      <c r="D2" s="43">
        <f>F2-'[1]Belgium'!D2</f>
        <v>-1115.26071572621</v>
      </c>
      <c r="E2" s="234">
        <v>3460</v>
      </c>
      <c r="F2" s="85">
        <v>4946</v>
      </c>
      <c r="G2" s="43">
        <v>3849</v>
      </c>
      <c r="H2" s="83">
        <v>1218</v>
      </c>
      <c r="I2" s="43">
        <v>6339</v>
      </c>
      <c r="J2" s="43">
        <v>47</v>
      </c>
      <c r="K2" s="43">
        <v>2499</v>
      </c>
      <c r="L2" s="43">
        <v>6609</v>
      </c>
      <c r="M2" s="43">
        <v>8372</v>
      </c>
      <c r="N2" s="43">
        <v>3323</v>
      </c>
      <c r="O2" s="43">
        <v>2360</v>
      </c>
      <c r="P2" s="43">
        <v>3780</v>
      </c>
      <c r="Q2" s="43">
        <v>800</v>
      </c>
      <c r="R2" s="43">
        <v>3500</v>
      </c>
      <c r="S2" s="43">
        <v>5900</v>
      </c>
      <c r="T2" s="43">
        <v>6100</v>
      </c>
      <c r="U2" s="42">
        <v>6900</v>
      </c>
    </row>
    <row r="3" spans="1:21" ht="12.75">
      <c r="A3" s="67" t="s">
        <v>163</v>
      </c>
      <c r="B3" s="68"/>
      <c r="C3" s="198">
        <f>E3-'[1]Belgium'!C3</f>
        <v>0</v>
      </c>
      <c r="D3" s="43">
        <f>F3-'[1]Belgium'!D3</f>
        <v>0</v>
      </c>
      <c r="E3" s="234">
        <v>0</v>
      </c>
      <c r="F3" s="85"/>
      <c r="G3" s="43"/>
      <c r="H3" s="83"/>
      <c r="I3" s="43"/>
      <c r="J3" s="43"/>
      <c r="K3" s="43"/>
      <c r="L3" s="43"/>
      <c r="M3" s="43"/>
      <c r="N3" s="43">
        <v>389</v>
      </c>
      <c r="O3" s="43">
        <v>144</v>
      </c>
      <c r="P3" s="43">
        <v>80</v>
      </c>
      <c r="Q3" s="43">
        <v>0</v>
      </c>
      <c r="R3" s="43">
        <v>0</v>
      </c>
      <c r="S3" s="43">
        <v>500</v>
      </c>
      <c r="T3" s="43">
        <v>900</v>
      </c>
      <c r="U3" s="42">
        <v>850</v>
      </c>
    </row>
    <row r="4" spans="1:21" ht="12.75">
      <c r="A4" s="67" t="s">
        <v>1</v>
      </c>
      <c r="B4" s="68">
        <f>(E4-F4)/F4</f>
        <v>-0.4199816971235052</v>
      </c>
      <c r="C4" s="198">
        <f>E4-'[1]Belgium'!C4</f>
        <v>-457.51540608263997</v>
      </c>
      <c r="D4" s="43">
        <f>F4-'[1]Belgium'!D4</f>
        <v>-861.7576977900139</v>
      </c>
      <c r="E4" s="234">
        <v>723.282823686989</v>
      </c>
      <c r="F4" s="85">
        <v>1247</v>
      </c>
      <c r="G4" s="43">
        <v>613</v>
      </c>
      <c r="H4" s="83">
        <v>925</v>
      </c>
      <c r="I4" s="43">
        <v>3057</v>
      </c>
      <c r="J4" s="43">
        <v>400</v>
      </c>
      <c r="K4" s="43">
        <v>611</v>
      </c>
      <c r="L4" s="43">
        <v>2384</v>
      </c>
      <c r="M4" s="43">
        <v>3137</v>
      </c>
      <c r="N4" s="43">
        <v>639</v>
      </c>
      <c r="O4" s="43">
        <v>1776</v>
      </c>
      <c r="P4" s="43">
        <v>1700</v>
      </c>
      <c r="Q4" s="43">
        <v>400</v>
      </c>
      <c r="R4" s="43">
        <v>1200</v>
      </c>
      <c r="S4" s="43">
        <v>300</v>
      </c>
      <c r="T4" s="43">
        <v>1600</v>
      </c>
      <c r="U4" s="42">
        <v>1500</v>
      </c>
    </row>
    <row r="5" spans="1:21" ht="12.75">
      <c r="A5" s="67" t="s">
        <v>104</v>
      </c>
      <c r="B5" s="68"/>
      <c r="C5" s="198">
        <f>E5-'[1]Belgium'!C5</f>
        <v>0</v>
      </c>
      <c r="D5" s="43">
        <f>F5-'[1]Belgium'!D5</f>
        <v>0</v>
      </c>
      <c r="E5" s="234">
        <v>0</v>
      </c>
      <c r="F5" s="85"/>
      <c r="G5" s="43"/>
      <c r="H5" s="8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2">
        <v>700</v>
      </c>
    </row>
    <row r="6" spans="1:21" ht="12.75">
      <c r="A6" s="67" t="s">
        <v>2</v>
      </c>
      <c r="B6" s="68">
        <f>(E6-F6)/F6</f>
        <v>-0.24523022296573344</v>
      </c>
      <c r="C6" s="198">
        <f>E6-'[1]Belgium'!C6</f>
        <v>-1660.8846603348065</v>
      </c>
      <c r="D6" s="43">
        <f>F6-'[1]Belgium'!D6</f>
        <v>-4041.4377811045088</v>
      </c>
      <c r="E6" s="234">
        <v>10617.346453541028</v>
      </c>
      <c r="F6" s="85">
        <v>14067</v>
      </c>
      <c r="G6" s="43">
        <v>10293</v>
      </c>
      <c r="H6" s="83">
        <v>23842</v>
      </c>
      <c r="I6" s="43">
        <v>20435</v>
      </c>
      <c r="J6" s="43">
        <v>11996</v>
      </c>
      <c r="K6" s="43">
        <v>16360</v>
      </c>
      <c r="L6" s="43">
        <v>23358</v>
      </c>
      <c r="M6" s="43">
        <v>20228</v>
      </c>
      <c r="N6" s="43">
        <v>22785</v>
      </c>
      <c r="O6" s="43">
        <v>18240</v>
      </c>
      <c r="P6" s="43">
        <v>14880</v>
      </c>
      <c r="Q6" s="43">
        <v>14100</v>
      </c>
      <c r="R6" s="43">
        <v>23200</v>
      </c>
      <c r="S6" s="43">
        <v>16700</v>
      </c>
      <c r="T6" s="43">
        <v>18100</v>
      </c>
      <c r="U6" s="42">
        <v>17700</v>
      </c>
    </row>
    <row r="7" spans="1:21" ht="12.75">
      <c r="A7" s="109" t="s">
        <v>26</v>
      </c>
      <c r="B7" s="68">
        <f>(E7-F7)/F7</f>
        <v>-0.3842684153097669</v>
      </c>
      <c r="C7" s="198">
        <f>E7-'[1]Belgium'!C7</f>
        <v>-9746.886283855893</v>
      </c>
      <c r="D7" s="43">
        <f>F7-'[1]Belgium'!D7</f>
        <v>-9096.705172413785</v>
      </c>
      <c r="E7" s="234">
        <v>59121.3152987868</v>
      </c>
      <c r="F7" s="85">
        <v>96018</v>
      </c>
      <c r="G7" s="43">
        <v>39119</v>
      </c>
      <c r="H7" s="83">
        <v>85350</v>
      </c>
      <c r="I7" s="43">
        <v>86480</v>
      </c>
      <c r="J7" s="43">
        <v>9812</v>
      </c>
      <c r="K7" s="43">
        <v>66640</v>
      </c>
      <c r="L7" s="108">
        <v>95567</v>
      </c>
      <c r="M7" s="108">
        <v>100024</v>
      </c>
      <c r="N7" s="108">
        <v>69685</v>
      </c>
      <c r="O7" s="108">
        <v>57762</v>
      </c>
      <c r="P7" s="108">
        <v>50600</v>
      </c>
      <c r="Q7" s="108">
        <v>61200</v>
      </c>
      <c r="R7" s="108">
        <v>94000</v>
      </c>
      <c r="S7" s="108">
        <v>113000</v>
      </c>
      <c r="T7" s="43">
        <v>94900</v>
      </c>
      <c r="U7" s="42">
        <v>124400</v>
      </c>
    </row>
    <row r="8" spans="1:21" ht="12.75">
      <c r="A8" s="107" t="s">
        <v>25</v>
      </c>
      <c r="B8" s="68">
        <f>(E8-F8)/F8</f>
        <v>-0.265959899364634</v>
      </c>
      <c r="C8" s="198">
        <f>E8-'[1]Belgium'!C8</f>
        <v>-4808.731334985117</v>
      </c>
      <c r="D8" s="43">
        <f>F8-'[1]Belgium'!D8</f>
        <v>-5252.566211466448</v>
      </c>
      <c r="E8" s="234">
        <v>19675.944897530986</v>
      </c>
      <c r="F8" s="85">
        <v>26805</v>
      </c>
      <c r="G8" s="43">
        <v>15190</v>
      </c>
      <c r="H8" s="83">
        <v>38781</v>
      </c>
      <c r="I8" s="43">
        <v>44450</v>
      </c>
      <c r="J8" s="43">
        <v>5743</v>
      </c>
      <c r="K8" s="43">
        <v>38758</v>
      </c>
      <c r="L8" s="108">
        <v>46155</v>
      </c>
      <c r="M8" s="108">
        <v>55977</v>
      </c>
      <c r="N8" s="108">
        <v>35151</v>
      </c>
      <c r="O8" s="108">
        <v>37369</v>
      </c>
      <c r="P8" s="108">
        <v>37000</v>
      </c>
      <c r="Q8" s="108">
        <v>30200</v>
      </c>
      <c r="R8" s="108">
        <v>36000</v>
      </c>
      <c r="S8" s="108">
        <v>41600</v>
      </c>
      <c r="T8" s="43">
        <v>38500</v>
      </c>
      <c r="U8" s="42">
        <v>37100</v>
      </c>
    </row>
    <row r="9" spans="1:21" ht="13.5" thickBot="1">
      <c r="A9" s="127" t="s">
        <v>5</v>
      </c>
      <c r="B9" s="68">
        <f>(E9-F9)/F9</f>
        <v>0.040179993628544124</v>
      </c>
      <c r="C9" s="199">
        <f>E9-'[1]Belgium'!C9</f>
        <v>-5580</v>
      </c>
      <c r="D9" s="76">
        <f>F9-'[1]Belgium'!D9</f>
        <v>-4246</v>
      </c>
      <c r="E9" s="75">
        <v>26121</v>
      </c>
      <c r="F9" s="235">
        <v>25112</v>
      </c>
      <c r="G9" s="76">
        <v>22669</v>
      </c>
      <c r="H9" s="76">
        <v>21201</v>
      </c>
      <c r="I9" s="76">
        <v>26951</v>
      </c>
      <c r="J9" s="76">
        <v>5763</v>
      </c>
      <c r="K9" s="76">
        <v>10294</v>
      </c>
      <c r="L9" s="111">
        <v>25469</v>
      </c>
      <c r="M9" s="111">
        <v>19879</v>
      </c>
      <c r="N9" s="111">
        <v>17538</v>
      </c>
      <c r="O9" s="111">
        <v>13614</v>
      </c>
      <c r="P9" s="111">
        <v>30000</v>
      </c>
      <c r="Q9" s="111">
        <v>15800</v>
      </c>
      <c r="R9" s="111">
        <v>12100</v>
      </c>
      <c r="S9" s="111">
        <v>29300</v>
      </c>
      <c r="T9" s="76">
        <v>22500</v>
      </c>
      <c r="U9" s="48">
        <v>3650</v>
      </c>
    </row>
    <row r="10" spans="1:21" ht="13.5" thickBot="1">
      <c r="A10" s="112" t="s">
        <v>22</v>
      </c>
      <c r="B10" s="50">
        <f>(E10-F10)/F10</f>
        <v>-0.28821374313418474</v>
      </c>
      <c r="C10" s="200">
        <f>E10-'[1]Belgium'!C10</f>
        <v>-23412.89251931908</v>
      </c>
      <c r="D10" s="80">
        <f>F10-'[1]Belgium'!D10</f>
        <v>-24613.727578500955</v>
      </c>
      <c r="E10" s="79">
        <f>SUM(E2:E9)</f>
        <v>119718.8894735458</v>
      </c>
      <c r="F10" s="80">
        <f>SUM(F2:F9)</f>
        <v>168195</v>
      </c>
      <c r="G10" s="80">
        <f>SUM(G2:G9)</f>
        <v>91733</v>
      </c>
      <c r="H10" s="80">
        <f>SUM(H2:H9)</f>
        <v>171317</v>
      </c>
      <c r="I10" s="80">
        <v>187712</v>
      </c>
      <c r="J10" s="80">
        <v>33761</v>
      </c>
      <c r="K10" s="80">
        <f>SUM(K2:K9)</f>
        <v>135162</v>
      </c>
      <c r="L10" s="80">
        <f>SUM(L2:L9)</f>
        <v>199542</v>
      </c>
      <c r="M10" s="80">
        <f>SUM(M2:M9)</f>
        <v>207617</v>
      </c>
      <c r="N10" s="80">
        <f>SUM(N2:N9)</f>
        <v>149510</v>
      </c>
      <c r="O10" s="80">
        <f>SUM(O2:O9)</f>
        <v>131265</v>
      </c>
      <c r="P10" s="80">
        <f aca="true" t="shared" si="0" ref="P10:U10">SUM(P2:P9)</f>
        <v>138040</v>
      </c>
      <c r="Q10" s="80">
        <f t="shared" si="0"/>
        <v>122500</v>
      </c>
      <c r="R10" s="80">
        <f t="shared" si="0"/>
        <v>170000</v>
      </c>
      <c r="S10" s="80">
        <f t="shared" si="0"/>
        <v>207300</v>
      </c>
      <c r="T10" s="80">
        <f t="shared" si="0"/>
        <v>182600</v>
      </c>
      <c r="U10" s="103">
        <f t="shared" si="0"/>
        <v>192800</v>
      </c>
    </row>
    <row r="11" spans="1:19" s="84" customFormat="1" ht="12.75">
      <c r="A11" s="84" t="s">
        <v>105</v>
      </c>
      <c r="B11" s="82"/>
      <c r="C11" s="82"/>
      <c r="D11" s="82"/>
      <c r="E11" s="82"/>
      <c r="F11" s="82"/>
      <c r="G11" s="82"/>
      <c r="H11" s="210"/>
      <c r="I11" s="82"/>
      <c r="J11" s="82"/>
      <c r="K11" s="82"/>
      <c r="L11" s="65"/>
      <c r="M11" s="65"/>
      <c r="N11" s="65"/>
      <c r="O11" s="65"/>
      <c r="P11" s="65"/>
      <c r="Q11" s="65"/>
      <c r="R11" s="65"/>
      <c r="S11" s="65"/>
    </row>
    <row r="12" spans="1:19" s="84" customFormat="1" ht="12.75">
      <c r="A12" s="84" t="s">
        <v>162</v>
      </c>
      <c r="B12" s="82"/>
      <c r="C12" s="82"/>
      <c r="D12" s="82"/>
      <c r="E12" s="82"/>
      <c r="F12" s="82"/>
      <c r="G12" s="82"/>
      <c r="H12" s="210"/>
      <c r="I12" s="82"/>
      <c r="J12" s="82"/>
      <c r="K12" s="82"/>
      <c r="L12" s="65"/>
      <c r="M12" s="65"/>
      <c r="N12" s="65"/>
      <c r="O12" s="65"/>
      <c r="P12" s="65"/>
      <c r="Q12" s="65"/>
      <c r="R12" s="65"/>
      <c r="S12" s="65"/>
    </row>
    <row r="13" spans="2:19" s="84" customFormat="1" ht="13.5" thickBot="1">
      <c r="B13" s="82"/>
      <c r="C13" s="82"/>
      <c r="D13" s="82"/>
      <c r="E13" s="82"/>
      <c r="F13" s="82"/>
      <c r="G13" s="82"/>
      <c r="H13" s="210"/>
      <c r="I13" s="82"/>
      <c r="J13" s="82"/>
      <c r="K13" s="82"/>
      <c r="L13" s="65"/>
      <c r="M13" s="65"/>
      <c r="N13" s="65"/>
      <c r="O13" s="65"/>
      <c r="P13" s="65"/>
      <c r="Q13" s="65"/>
      <c r="R13" s="65"/>
      <c r="S13" s="65"/>
    </row>
    <row r="14" spans="1:21" s="59" customFormat="1" ht="13.5" thickBot="1">
      <c r="A14" s="34" t="s">
        <v>24</v>
      </c>
      <c r="B14" s="17" t="s">
        <v>182</v>
      </c>
      <c r="C14" s="174" t="s">
        <v>183</v>
      </c>
      <c r="D14" s="55" t="s">
        <v>177</v>
      </c>
      <c r="E14" s="31">
        <v>44896</v>
      </c>
      <c r="F14" s="18">
        <v>44531</v>
      </c>
      <c r="G14" s="18">
        <v>44166</v>
      </c>
      <c r="H14" s="18">
        <v>43800</v>
      </c>
      <c r="I14" s="18">
        <v>43435</v>
      </c>
      <c r="J14" s="18">
        <v>43070</v>
      </c>
      <c r="K14" s="18">
        <v>42705</v>
      </c>
      <c r="L14" s="57">
        <f>L1</f>
        <v>42339</v>
      </c>
      <c r="M14" s="57">
        <f>M1</f>
        <v>41974</v>
      </c>
      <c r="N14" s="57">
        <v>41609</v>
      </c>
      <c r="O14" s="57">
        <v>41244</v>
      </c>
      <c r="P14" s="57">
        <v>40878</v>
      </c>
      <c r="Q14" s="57">
        <v>40513</v>
      </c>
      <c r="R14" s="57">
        <v>40148</v>
      </c>
      <c r="S14" s="57">
        <v>39783</v>
      </c>
      <c r="T14" s="35">
        <v>39417</v>
      </c>
      <c r="U14" s="98">
        <v>39052</v>
      </c>
    </row>
    <row r="15" spans="1:21" ht="12.75">
      <c r="A15" s="67" t="s">
        <v>6</v>
      </c>
      <c r="B15" s="68">
        <f>(E15-F15)/F15</f>
        <v>-0.13448822328778626</v>
      </c>
      <c r="C15" s="198">
        <f>E15-'[1]Belgium'!C15</f>
        <v>-40419.32091975614</v>
      </c>
      <c r="D15" s="43">
        <f>F15-'[1]Belgium'!D15</f>
        <v>-35792.70118343196</v>
      </c>
      <c r="E15" s="234">
        <v>205934.67908024386</v>
      </c>
      <c r="F15" s="85">
        <v>237934</v>
      </c>
      <c r="G15" s="43">
        <v>262524</v>
      </c>
      <c r="H15" s="83">
        <v>201868</v>
      </c>
      <c r="I15" s="43">
        <v>249675</v>
      </c>
      <c r="J15" s="43">
        <v>189864</v>
      </c>
      <c r="K15" s="63">
        <v>217140</v>
      </c>
      <c r="L15" s="43">
        <v>253418</v>
      </c>
      <c r="M15" s="43">
        <v>226928</v>
      </c>
      <c r="N15" s="43">
        <v>194785</v>
      </c>
      <c r="O15" s="43">
        <v>134224</v>
      </c>
      <c r="P15" s="43">
        <v>172000</v>
      </c>
      <c r="Q15" s="43">
        <v>138400</v>
      </c>
      <c r="R15" s="43">
        <v>132700</v>
      </c>
      <c r="S15" s="43">
        <v>66300</v>
      </c>
      <c r="T15" s="43">
        <v>119800</v>
      </c>
      <c r="U15" s="42">
        <v>128800</v>
      </c>
    </row>
    <row r="16" spans="1:21" ht="12.75">
      <c r="A16" s="67" t="s">
        <v>106</v>
      </c>
      <c r="B16" s="68">
        <f>(E16-F16)/F16</f>
        <v>-0.3190627261715282</v>
      </c>
      <c r="C16" s="198">
        <f>E16-'[1]Belgium'!C16</f>
        <v>-1942.7874764417338</v>
      </c>
      <c r="D16" s="43">
        <f>F16-'[1]Belgium'!D16</f>
        <v>-3372.4211353509745</v>
      </c>
      <c r="E16" s="234">
        <v>3976.6736791582753</v>
      </c>
      <c r="F16" s="85">
        <v>5840</v>
      </c>
      <c r="G16" s="43">
        <v>8578</v>
      </c>
      <c r="H16" s="83">
        <v>4390</v>
      </c>
      <c r="I16" s="43">
        <v>9015</v>
      </c>
      <c r="J16" s="43">
        <v>1936</v>
      </c>
      <c r="K16" s="43">
        <v>6723</v>
      </c>
      <c r="L16" s="43">
        <v>13248</v>
      </c>
      <c r="M16" s="43">
        <v>12130</v>
      </c>
      <c r="N16" s="43">
        <v>10040</v>
      </c>
      <c r="O16" s="43">
        <v>1232</v>
      </c>
      <c r="P16" s="43">
        <v>7000</v>
      </c>
      <c r="Q16" s="43">
        <v>5100</v>
      </c>
      <c r="R16" s="43">
        <v>9400</v>
      </c>
      <c r="S16" s="43">
        <v>200</v>
      </c>
      <c r="T16" s="43">
        <v>5300</v>
      </c>
      <c r="U16" s="42">
        <v>5000</v>
      </c>
    </row>
    <row r="17" spans="1:21" ht="12.75">
      <c r="A17" s="67" t="s">
        <v>159</v>
      </c>
      <c r="B17" s="68"/>
      <c r="C17" s="198">
        <f>E17-'[1]Belgium'!C17</f>
        <v>-249</v>
      </c>
      <c r="D17" s="43">
        <f>F17-'[1]Belgium'!D17</f>
        <v>-227.3168462356782</v>
      </c>
      <c r="E17" s="234">
        <v>0</v>
      </c>
      <c r="F17" s="85">
        <v>0</v>
      </c>
      <c r="G17" s="43">
        <v>492</v>
      </c>
      <c r="H17" s="83">
        <v>773</v>
      </c>
      <c r="I17" s="43">
        <v>231</v>
      </c>
      <c r="J17" s="43">
        <v>300</v>
      </c>
      <c r="K17" s="43">
        <v>734</v>
      </c>
      <c r="L17" s="43">
        <v>226</v>
      </c>
      <c r="M17" s="43">
        <v>38</v>
      </c>
      <c r="N17" s="43">
        <v>1202</v>
      </c>
      <c r="O17" s="43">
        <v>1441</v>
      </c>
      <c r="P17" s="43"/>
      <c r="Q17" s="43"/>
      <c r="R17" s="43"/>
      <c r="S17" s="43"/>
      <c r="T17" s="43"/>
      <c r="U17" s="42"/>
    </row>
    <row r="18" spans="1:21" ht="12.75">
      <c r="A18" s="141" t="s">
        <v>179</v>
      </c>
      <c r="B18" s="68">
        <f>(E18-F18)/F18</f>
        <v>0.3210753490724225</v>
      </c>
      <c r="C18" s="198">
        <f>E18-'[1]Belgium'!C18</f>
        <v>-549.3822319063452</v>
      </c>
      <c r="D18" s="43">
        <f>F18-'[1]Belgium'!D18</f>
        <v>-599.5625040751802</v>
      </c>
      <c r="E18" s="234">
        <v>3255.129660114449</v>
      </c>
      <c r="F18" s="85">
        <v>2464</v>
      </c>
      <c r="G18" s="43"/>
      <c r="H18" s="8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2"/>
    </row>
    <row r="19" spans="1:21" ht="13.5" thickBot="1">
      <c r="A19" s="67" t="s">
        <v>5</v>
      </c>
      <c r="B19" s="68">
        <f>(E19-F19)/F19</f>
        <v>1.4535035620863377</v>
      </c>
      <c r="C19" s="198">
        <f>E19-'[1]Belgium'!C19</f>
        <v>-314.80006214077</v>
      </c>
      <c r="D19" s="43">
        <f>F19-'[1]Belgium'!D19</f>
        <v>-481</v>
      </c>
      <c r="E19" s="234">
        <v>7878.19993785923</v>
      </c>
      <c r="F19" s="85">
        <v>3211</v>
      </c>
      <c r="G19" s="43">
        <v>7493</v>
      </c>
      <c r="H19" s="43">
        <v>6644</v>
      </c>
      <c r="I19" s="43">
        <v>7969</v>
      </c>
      <c r="J19" s="43">
        <v>2785</v>
      </c>
      <c r="K19" s="43">
        <v>3385</v>
      </c>
      <c r="L19" s="43">
        <v>3215</v>
      </c>
      <c r="M19" s="43">
        <v>5874</v>
      </c>
      <c r="N19" s="43">
        <v>3874</v>
      </c>
      <c r="O19" s="43">
        <v>242</v>
      </c>
      <c r="P19" s="43">
        <v>980</v>
      </c>
      <c r="Q19" s="43">
        <v>800</v>
      </c>
      <c r="R19" s="43">
        <v>1000</v>
      </c>
      <c r="S19" s="43">
        <v>800</v>
      </c>
      <c r="T19" s="43">
        <v>1400</v>
      </c>
      <c r="U19" s="42">
        <v>3600</v>
      </c>
    </row>
    <row r="20" spans="1:21" ht="13.5" thickBot="1">
      <c r="A20" s="34" t="s">
        <v>22</v>
      </c>
      <c r="B20" s="50">
        <f>(E20-F20)/F20</f>
        <v>-0.11386823616300004</v>
      </c>
      <c r="C20" s="197">
        <f>E20-'[1]Belgium'!C20</f>
        <v>-43475.29069024499</v>
      </c>
      <c r="D20" s="102">
        <f>F20-'[1]Belgium'!D20</f>
        <v>-40473.00166909379</v>
      </c>
      <c r="E20" s="51">
        <f>SUM(E15:E19)</f>
        <v>221044.6823573758</v>
      </c>
      <c r="F20" s="102">
        <f>SUM(F15:F19)</f>
        <v>249449</v>
      </c>
      <c r="G20" s="102">
        <f>SUM(G15:G19)</f>
        <v>279087</v>
      </c>
      <c r="H20" s="102">
        <f>SUM(H15:H19)</f>
        <v>213675</v>
      </c>
      <c r="I20" s="102">
        <v>266890</v>
      </c>
      <c r="J20" s="102">
        <v>194885</v>
      </c>
      <c r="K20" s="102">
        <f>SUM(K15:K19)</f>
        <v>227982</v>
      </c>
      <c r="L20" s="102">
        <f>SUM(L15:L19)</f>
        <v>270107</v>
      </c>
      <c r="M20" s="102">
        <f>SUM(M15:M19)</f>
        <v>244970</v>
      </c>
      <c r="N20" s="102">
        <f>SUM(N15:N19)</f>
        <v>209901</v>
      </c>
      <c r="O20" s="102">
        <f>SUM(O15:O19)</f>
        <v>137139</v>
      </c>
      <c r="P20" s="102">
        <f aca="true" t="shared" si="1" ref="P20:U20">SUM(P15:P19)</f>
        <v>179980</v>
      </c>
      <c r="Q20" s="102">
        <f t="shared" si="1"/>
        <v>144300</v>
      </c>
      <c r="R20" s="102">
        <f t="shared" si="1"/>
        <v>143100</v>
      </c>
      <c r="S20" s="102">
        <f t="shared" si="1"/>
        <v>67300</v>
      </c>
      <c r="T20" s="102">
        <f t="shared" si="1"/>
        <v>126500</v>
      </c>
      <c r="U20" s="53">
        <f t="shared" si="1"/>
        <v>137400</v>
      </c>
    </row>
    <row r="21" ht="12.75">
      <c r="A21" t="s">
        <v>180</v>
      </c>
    </row>
    <row r="22" ht="12.75">
      <c r="A22" s="3" t="s">
        <v>181</v>
      </c>
    </row>
    <row r="27" spans="20:22" ht="18">
      <c r="T27" s="113"/>
      <c r="U27" s="85"/>
      <c r="V27" s="85"/>
    </row>
    <row r="28" spans="20:22" ht="18">
      <c r="T28" s="113"/>
      <c r="U28" s="85"/>
      <c r="V28" s="85"/>
    </row>
    <row r="29" spans="20:22" ht="18">
      <c r="T29" s="113"/>
      <c r="U29" s="85"/>
      <c r="V29" s="85"/>
    </row>
    <row r="30" spans="20:22" ht="18">
      <c r="T30" s="113"/>
      <c r="U30" s="85"/>
      <c r="V30" s="85"/>
    </row>
    <row r="31" spans="20:22" ht="18">
      <c r="T31" s="113"/>
      <c r="U31" s="85"/>
      <c r="V31" s="85"/>
    </row>
    <row r="32" spans="20:22" ht="18">
      <c r="T32" s="113"/>
      <c r="U32" s="85"/>
      <c r="V32" s="85"/>
    </row>
    <row r="33" spans="20:22" ht="18">
      <c r="T33" s="113"/>
      <c r="U33" s="85"/>
      <c r="V33" s="85"/>
    </row>
    <row r="34" spans="20:22" ht="18">
      <c r="T34" s="113"/>
      <c r="U34" s="85"/>
      <c r="V34" s="85"/>
    </row>
    <row r="35" spans="20:22" ht="18">
      <c r="T35" s="113"/>
      <c r="U35" s="85"/>
      <c r="V35" s="85"/>
    </row>
    <row r="36" spans="20:22" ht="18">
      <c r="T36" s="113"/>
      <c r="U36" s="85"/>
      <c r="V36" s="85"/>
    </row>
    <row r="37" spans="20:22" ht="18">
      <c r="T37" s="114"/>
      <c r="U37" s="85"/>
      <c r="V37" s="85"/>
    </row>
    <row r="38" spans="20:22" ht="18">
      <c r="T38" s="115"/>
      <c r="U38" s="116"/>
      <c r="V38" s="116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V3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9.28125" style="33" customWidth="1"/>
    <col min="2" max="2" width="10.7109375" style="33" customWidth="1"/>
    <col min="3" max="3" width="11.421875" style="33" bestFit="1" customWidth="1"/>
    <col min="4" max="5" width="10.7109375" style="33" customWidth="1"/>
    <col min="6" max="10" width="10.7109375" style="84" customWidth="1"/>
    <col min="11" max="11" width="10.140625" style="33" bestFit="1" customWidth="1"/>
    <col min="12" max="19" width="10.140625" style="59" bestFit="1" customWidth="1"/>
    <col min="20" max="21" width="10.140625" style="33" bestFit="1" customWidth="1"/>
    <col min="22" max="16384" width="9.140625" style="33" customWidth="1"/>
  </cols>
  <sheetData>
    <row r="1" spans="1:21" s="59" customFormat="1" ht="13.5" thickBot="1">
      <c r="A1" s="34" t="s">
        <v>23</v>
      </c>
      <c r="B1" s="17" t="s">
        <v>182</v>
      </c>
      <c r="C1" s="174" t="s">
        <v>183</v>
      </c>
      <c r="D1" s="55" t="s">
        <v>177</v>
      </c>
      <c r="E1" s="31">
        <v>44896</v>
      </c>
      <c r="F1" s="18">
        <v>44531</v>
      </c>
      <c r="G1" s="18">
        <v>44166</v>
      </c>
      <c r="H1" s="18">
        <v>43800</v>
      </c>
      <c r="I1" s="18">
        <v>43435</v>
      </c>
      <c r="J1" s="18">
        <v>43070</v>
      </c>
      <c r="K1" s="18">
        <v>42705</v>
      </c>
      <c r="L1" s="57">
        <v>42339</v>
      </c>
      <c r="M1" s="57">
        <v>41974</v>
      </c>
      <c r="N1" s="57">
        <v>41609</v>
      </c>
      <c r="O1" s="57">
        <v>41244</v>
      </c>
      <c r="P1" s="57">
        <v>40878</v>
      </c>
      <c r="Q1" s="57">
        <v>40513</v>
      </c>
      <c r="R1" s="57">
        <v>40148</v>
      </c>
      <c r="S1" s="57">
        <v>39783</v>
      </c>
      <c r="T1" s="35">
        <v>39417</v>
      </c>
      <c r="U1" s="98">
        <v>39052</v>
      </c>
    </row>
    <row r="2" spans="1:21" s="172" customFormat="1" ht="12.75">
      <c r="A2" s="37" t="s">
        <v>10</v>
      </c>
      <c r="B2" s="142">
        <f aca="true" t="shared" si="0" ref="B2:B12">(E2-F2)/F2</f>
        <v>0.4899211218229623</v>
      </c>
      <c r="C2" s="205">
        <f>E2-'[1]Czech Republic'!C2</f>
        <v>2311</v>
      </c>
      <c r="D2" s="207">
        <f>F2-'[1]Czech Republic'!D2</f>
        <v>715</v>
      </c>
      <c r="E2" s="233">
        <v>8500</v>
      </c>
      <c r="F2" s="232">
        <v>5705</v>
      </c>
      <c r="G2" s="207">
        <v>5488</v>
      </c>
      <c r="H2" s="211">
        <v>5031</v>
      </c>
      <c r="I2" s="207">
        <v>4820</v>
      </c>
      <c r="J2" s="207">
        <v>2625</v>
      </c>
      <c r="K2" s="184"/>
      <c r="L2" s="169"/>
      <c r="M2" s="169"/>
      <c r="N2" s="169"/>
      <c r="O2" s="169"/>
      <c r="P2" s="169"/>
      <c r="Q2" s="169"/>
      <c r="R2" s="169"/>
      <c r="S2" s="169"/>
      <c r="T2" s="170"/>
      <c r="U2" s="171"/>
    </row>
    <row r="3" spans="1:21" ht="12.75">
      <c r="A3" s="67" t="s">
        <v>8</v>
      </c>
      <c r="B3" s="68">
        <f t="shared" si="0"/>
        <v>0.3446291560102302</v>
      </c>
      <c r="C3" s="198">
        <f>E3-'[1]Czech Republic'!C3</f>
        <v>-1422</v>
      </c>
      <c r="D3" s="43">
        <f>F3-'[1]Czech Republic'!D3</f>
        <v>-1317</v>
      </c>
      <c r="E3" s="69">
        <v>8412</v>
      </c>
      <c r="F3" s="83">
        <v>6256</v>
      </c>
      <c r="G3" s="43">
        <v>7123</v>
      </c>
      <c r="H3" s="83">
        <v>4317</v>
      </c>
      <c r="I3" s="164">
        <v>5649</v>
      </c>
      <c r="J3" s="164">
        <v>4527</v>
      </c>
      <c r="K3" s="9">
        <v>4195</v>
      </c>
      <c r="L3" s="43">
        <v>4920</v>
      </c>
      <c r="M3" s="43">
        <v>1694</v>
      </c>
      <c r="N3" s="43">
        <v>2090</v>
      </c>
      <c r="O3" s="43">
        <v>563</v>
      </c>
      <c r="P3" s="43">
        <v>319</v>
      </c>
      <c r="Q3" s="43">
        <v>278</v>
      </c>
      <c r="R3" s="43">
        <v>414</v>
      </c>
      <c r="S3" s="43">
        <v>238</v>
      </c>
      <c r="T3" s="43">
        <v>162</v>
      </c>
      <c r="U3" s="42">
        <v>123</v>
      </c>
    </row>
    <row r="4" spans="1:21" ht="12.75">
      <c r="A4" s="67" t="s">
        <v>13</v>
      </c>
      <c r="B4" s="68">
        <f t="shared" si="0"/>
        <v>0.40594059405940597</v>
      </c>
      <c r="C4" s="198">
        <f>E4-'[1]Czech Republic'!C4</f>
        <v>202</v>
      </c>
      <c r="D4" s="43">
        <f>F4-'[1]Czech Republic'!D4</f>
        <v>44</v>
      </c>
      <c r="E4" s="69">
        <v>426</v>
      </c>
      <c r="F4" s="83">
        <v>303</v>
      </c>
      <c r="G4" s="43">
        <v>1003</v>
      </c>
      <c r="H4" s="83">
        <v>241</v>
      </c>
      <c r="I4" s="164">
        <v>1577</v>
      </c>
      <c r="J4" s="164">
        <v>664</v>
      </c>
      <c r="K4" s="9">
        <v>465</v>
      </c>
      <c r="L4" s="43">
        <v>958</v>
      </c>
      <c r="M4" s="43">
        <v>1533</v>
      </c>
      <c r="N4" s="43">
        <v>1339</v>
      </c>
      <c r="O4" s="43">
        <v>1833</v>
      </c>
      <c r="P4" s="43">
        <v>1515</v>
      </c>
      <c r="Q4" s="43">
        <v>1754</v>
      </c>
      <c r="R4" s="43">
        <v>1771</v>
      </c>
      <c r="S4" s="43">
        <v>2317</v>
      </c>
      <c r="T4" s="43">
        <v>1558</v>
      </c>
      <c r="U4" s="42">
        <v>2109</v>
      </c>
    </row>
    <row r="5" spans="1:21" ht="12.75">
      <c r="A5" s="67" t="s">
        <v>2</v>
      </c>
      <c r="B5" s="68">
        <f t="shared" si="0"/>
        <v>0.28511635693956133</v>
      </c>
      <c r="C5" s="198">
        <f>E5-'[1]Czech Republic'!C5</f>
        <v>-235</v>
      </c>
      <c r="D5" s="43">
        <f>F5-'[1]Czech Republic'!D5</f>
        <v>-266</v>
      </c>
      <c r="E5" s="69">
        <v>15352</v>
      </c>
      <c r="F5" s="83">
        <v>11946</v>
      </c>
      <c r="G5" s="43">
        <v>15610</v>
      </c>
      <c r="H5" s="83">
        <v>12615</v>
      </c>
      <c r="I5" s="164">
        <v>17603</v>
      </c>
      <c r="J5" s="164">
        <v>15295</v>
      </c>
      <c r="K5" s="9">
        <v>14566</v>
      </c>
      <c r="L5" s="43">
        <v>16840</v>
      </c>
      <c r="M5" s="43">
        <v>17838</v>
      </c>
      <c r="N5" s="43">
        <v>11485</v>
      </c>
      <c r="O5" s="43">
        <v>9464</v>
      </c>
      <c r="P5" s="43">
        <v>10437</v>
      </c>
      <c r="Q5" s="43">
        <v>6423</v>
      </c>
      <c r="R5" s="43">
        <v>9715</v>
      </c>
      <c r="S5" s="43">
        <v>10292</v>
      </c>
      <c r="T5" s="43">
        <v>7097</v>
      </c>
      <c r="U5" s="42">
        <v>5074</v>
      </c>
    </row>
    <row r="6" spans="1:21" ht="12.75">
      <c r="A6" s="67" t="s">
        <v>9</v>
      </c>
      <c r="B6" s="68">
        <f t="shared" si="0"/>
        <v>-0.06954743032472513</v>
      </c>
      <c r="C6" s="198">
        <f>E6-'[1]Czech Republic'!C6</f>
        <v>2367</v>
      </c>
      <c r="D6" s="43">
        <f>F6-'[1]Czech Republic'!D6</f>
        <v>1796</v>
      </c>
      <c r="E6" s="69">
        <v>7278</v>
      </c>
      <c r="F6" s="83">
        <v>7822</v>
      </c>
      <c r="G6" s="43">
        <v>7531</v>
      </c>
      <c r="H6" s="83">
        <v>6363</v>
      </c>
      <c r="I6" s="164">
        <v>13049</v>
      </c>
      <c r="J6" s="164">
        <v>8343</v>
      </c>
      <c r="K6" s="9">
        <v>7737</v>
      </c>
      <c r="L6" s="43">
        <v>13178</v>
      </c>
      <c r="M6" s="43">
        <v>12300</v>
      </c>
      <c r="N6" s="43">
        <v>11031</v>
      </c>
      <c r="O6" s="43">
        <v>15286</v>
      </c>
      <c r="P6" s="43">
        <v>7546</v>
      </c>
      <c r="Q6" s="43">
        <v>12780</v>
      </c>
      <c r="R6" s="43">
        <v>17523</v>
      </c>
      <c r="S6" s="43">
        <v>19682</v>
      </c>
      <c r="T6" s="43">
        <v>13584</v>
      </c>
      <c r="U6" s="42">
        <v>18851</v>
      </c>
    </row>
    <row r="7" spans="1:21" ht="12.75">
      <c r="A7" s="67" t="s">
        <v>26</v>
      </c>
      <c r="B7" s="68">
        <f t="shared" si="0"/>
        <v>0.09665170866413532</v>
      </c>
      <c r="C7" s="198">
        <f>E7-'[1]Czech Republic'!C7</f>
        <v>-743</v>
      </c>
      <c r="D7" s="43">
        <f>F7-'[1]Czech Republic'!D7</f>
        <v>-381</v>
      </c>
      <c r="E7" s="69">
        <v>12708</v>
      </c>
      <c r="F7" s="83">
        <v>11588</v>
      </c>
      <c r="G7" s="43">
        <v>8638</v>
      </c>
      <c r="H7" s="83">
        <v>4966</v>
      </c>
      <c r="I7" s="164">
        <v>11980</v>
      </c>
      <c r="J7" s="164">
        <v>5042</v>
      </c>
      <c r="K7" s="9">
        <v>5023</v>
      </c>
      <c r="L7" s="43">
        <v>8884</v>
      </c>
      <c r="M7" s="43">
        <v>7243</v>
      </c>
      <c r="N7" s="43">
        <v>5800</v>
      </c>
      <c r="O7" s="43">
        <v>3977</v>
      </c>
      <c r="P7" s="43">
        <v>3155</v>
      </c>
      <c r="Q7" s="43">
        <v>3143</v>
      </c>
      <c r="R7" s="43">
        <v>4802</v>
      </c>
      <c r="S7" s="43">
        <v>5891</v>
      </c>
      <c r="T7" s="43">
        <v>2709</v>
      </c>
      <c r="U7" s="42">
        <v>3342</v>
      </c>
    </row>
    <row r="8" spans="1:21" ht="12.75">
      <c r="A8" s="67" t="s">
        <v>18</v>
      </c>
      <c r="B8" s="68">
        <f t="shared" si="0"/>
        <v>0.7732606873428332</v>
      </c>
      <c r="C8" s="198">
        <f>E8-'[1]Czech Republic'!C8</f>
        <v>263</v>
      </c>
      <c r="D8" s="43">
        <f>F8-'[1]Czech Republic'!D8</f>
        <v>197</v>
      </c>
      <c r="E8" s="69">
        <v>4231</v>
      </c>
      <c r="F8" s="83">
        <v>2386</v>
      </c>
      <c r="G8" s="43">
        <v>2082</v>
      </c>
      <c r="H8" s="83">
        <v>1817</v>
      </c>
      <c r="I8" s="164">
        <v>2447</v>
      </c>
      <c r="J8" s="164">
        <v>1191</v>
      </c>
      <c r="K8" s="9">
        <v>1389</v>
      </c>
      <c r="L8" s="43">
        <v>827</v>
      </c>
      <c r="M8" s="43">
        <v>925</v>
      </c>
      <c r="N8" s="43">
        <v>249</v>
      </c>
      <c r="O8" s="43">
        <v>519</v>
      </c>
      <c r="P8" s="43">
        <v>113</v>
      </c>
      <c r="Q8" s="43">
        <v>241</v>
      </c>
      <c r="R8" s="43">
        <v>23</v>
      </c>
      <c r="S8" s="43">
        <v>400</v>
      </c>
      <c r="T8" s="43">
        <v>159</v>
      </c>
      <c r="U8" s="70">
        <v>123</v>
      </c>
    </row>
    <row r="9" spans="1:21" ht="12.75">
      <c r="A9" s="37" t="s">
        <v>88</v>
      </c>
      <c r="B9" s="68">
        <f t="shared" si="0"/>
        <v>-0.5313833028641073</v>
      </c>
      <c r="C9" s="198">
        <f>E9-'[1]Czech Republic'!C9</f>
        <v>-307</v>
      </c>
      <c r="D9" s="43">
        <f>F9-'[1]Czech Republic'!D9</f>
        <v>-151</v>
      </c>
      <c r="E9" s="69">
        <v>769</v>
      </c>
      <c r="F9" s="83">
        <v>1641</v>
      </c>
      <c r="G9" s="43">
        <v>1830</v>
      </c>
      <c r="H9" s="83">
        <v>933</v>
      </c>
      <c r="I9" s="164">
        <v>2507</v>
      </c>
      <c r="J9" s="164">
        <v>1321</v>
      </c>
      <c r="K9" s="9">
        <v>2166</v>
      </c>
      <c r="L9" s="43">
        <v>2376</v>
      </c>
      <c r="M9" s="43">
        <v>2128</v>
      </c>
      <c r="N9" s="43">
        <v>1347</v>
      </c>
      <c r="O9" s="43">
        <v>1498</v>
      </c>
      <c r="P9" s="43">
        <v>823</v>
      </c>
      <c r="Q9" s="43">
        <v>964</v>
      </c>
      <c r="R9" s="43">
        <v>2146</v>
      </c>
      <c r="S9" s="43">
        <v>2080</v>
      </c>
      <c r="T9" s="43">
        <v>1555</v>
      </c>
      <c r="U9" s="70">
        <v>1967</v>
      </c>
    </row>
    <row r="10" spans="1:21" ht="12.75">
      <c r="A10" s="67" t="s">
        <v>34</v>
      </c>
      <c r="B10" s="68">
        <f t="shared" si="0"/>
        <v>0.0625</v>
      </c>
      <c r="C10" s="198">
        <f>E10-'[1]Czech Republic'!C10</f>
        <v>9</v>
      </c>
      <c r="D10" s="43">
        <f>F10-'[1]Czech Republic'!D10</f>
        <v>-13</v>
      </c>
      <c r="E10" s="69">
        <v>34</v>
      </c>
      <c r="F10" s="83">
        <v>32</v>
      </c>
      <c r="G10" s="43">
        <v>319</v>
      </c>
      <c r="H10" s="83">
        <v>88</v>
      </c>
      <c r="I10" s="164">
        <v>26</v>
      </c>
      <c r="J10" s="164">
        <v>35</v>
      </c>
      <c r="K10" s="9">
        <v>50</v>
      </c>
      <c r="L10" s="43">
        <v>104</v>
      </c>
      <c r="M10" s="43">
        <v>179</v>
      </c>
      <c r="N10" s="43">
        <v>109</v>
      </c>
      <c r="O10" s="43">
        <v>573</v>
      </c>
      <c r="P10" s="43">
        <v>157</v>
      </c>
      <c r="Q10" s="43">
        <v>124</v>
      </c>
      <c r="R10" s="43">
        <v>241</v>
      </c>
      <c r="S10" s="43">
        <v>344</v>
      </c>
      <c r="T10" s="43">
        <v>485</v>
      </c>
      <c r="U10" s="70">
        <v>280</v>
      </c>
    </row>
    <row r="11" spans="1:21" ht="13.5" thickBot="1">
      <c r="A11" s="110" t="s">
        <v>58</v>
      </c>
      <c r="B11" s="74">
        <f t="shared" si="0"/>
        <v>0.37094907407407407</v>
      </c>
      <c r="C11" s="199">
        <f>E11-'[1]Czech Republic'!C11</f>
        <v>-1143</v>
      </c>
      <c r="D11" s="76">
        <f>F11-'[1]Czech Republic'!D11</f>
        <v>5</v>
      </c>
      <c r="E11" s="75">
        <v>7107</v>
      </c>
      <c r="F11" s="76">
        <v>5184</v>
      </c>
      <c r="G11" s="76">
        <v>5353</v>
      </c>
      <c r="H11" s="76">
        <v>4332</v>
      </c>
      <c r="I11" s="208">
        <v>6541</v>
      </c>
      <c r="J11" s="164">
        <v>2112</v>
      </c>
      <c r="K11" s="9">
        <v>7025</v>
      </c>
      <c r="L11" s="76">
        <v>7694</v>
      </c>
      <c r="M11" s="76">
        <v>5917</v>
      </c>
      <c r="N11" s="76">
        <v>5929</v>
      </c>
      <c r="O11" s="76">
        <v>4853</v>
      </c>
      <c r="P11" s="76">
        <v>2159</v>
      </c>
      <c r="Q11" s="76">
        <v>3988</v>
      </c>
      <c r="R11" s="76">
        <v>6062</v>
      </c>
      <c r="S11" s="76">
        <v>7423</v>
      </c>
      <c r="T11" s="76">
        <v>4622</v>
      </c>
      <c r="U11" s="77">
        <v>7300</v>
      </c>
    </row>
    <row r="12" spans="1:21" ht="13.5" thickBot="1">
      <c r="A12" s="112" t="s">
        <v>22</v>
      </c>
      <c r="B12" s="78">
        <f t="shared" si="0"/>
        <v>0.2261316989198494</v>
      </c>
      <c r="C12" s="200">
        <f>E12-'[1]Czech Republic'!C12</f>
        <v>1302</v>
      </c>
      <c r="D12" s="80">
        <f>F12-'[1]Czech Republic'!D12</f>
        <v>629</v>
      </c>
      <c r="E12" s="79">
        <f>SUM(E2:E11)</f>
        <v>64817</v>
      </c>
      <c r="F12" s="80">
        <f>SUM(F2:F11)</f>
        <v>52863</v>
      </c>
      <c r="G12" s="80">
        <f>SUM(G2:G11)</f>
        <v>54977</v>
      </c>
      <c r="H12" s="80">
        <f>SUM(H2:H11)</f>
        <v>40703</v>
      </c>
      <c r="I12" s="135">
        <v>66199</v>
      </c>
      <c r="J12" s="186">
        <v>41155</v>
      </c>
      <c r="K12" s="185">
        <f>SUM(K3:K11)</f>
        <v>42616</v>
      </c>
      <c r="L12" s="80">
        <f>SUM(L3:L11)</f>
        <v>55781</v>
      </c>
      <c r="M12" s="80">
        <f>SUM(M3:M11)</f>
        <v>49757</v>
      </c>
      <c r="N12" s="80">
        <f>SUM(N3:N11)</f>
        <v>39379</v>
      </c>
      <c r="O12" s="80">
        <f>SUM(O3:O11)</f>
        <v>38566</v>
      </c>
      <c r="P12" s="80">
        <f aca="true" t="shared" si="1" ref="P12:U12">SUM(P3:P11)</f>
        <v>26224</v>
      </c>
      <c r="Q12" s="80">
        <f t="shared" si="1"/>
        <v>29695</v>
      </c>
      <c r="R12" s="80">
        <f t="shared" si="1"/>
        <v>42697</v>
      </c>
      <c r="S12" s="80">
        <f t="shared" si="1"/>
        <v>48667</v>
      </c>
      <c r="T12" s="80">
        <f t="shared" si="1"/>
        <v>31931</v>
      </c>
      <c r="U12" s="103">
        <f t="shared" si="1"/>
        <v>39169</v>
      </c>
    </row>
    <row r="13" spans="2:19" s="84" customFormat="1" ht="12.75">
      <c r="B13" s="82"/>
      <c r="C13" s="82"/>
      <c r="D13" s="82"/>
      <c r="E13" s="82"/>
      <c r="F13" s="82"/>
      <c r="G13" s="82"/>
      <c r="H13" s="210"/>
      <c r="I13" s="82"/>
      <c r="J13" s="82"/>
      <c r="K13" s="82"/>
      <c r="L13" s="65"/>
      <c r="M13" s="65"/>
      <c r="N13" s="65"/>
      <c r="O13" s="65"/>
      <c r="P13" s="65"/>
      <c r="Q13" s="65"/>
      <c r="R13" s="65"/>
      <c r="S13" s="65"/>
    </row>
    <row r="14" spans="4:11" ht="13.5" thickBot="1">
      <c r="D14" s="84"/>
      <c r="E14" s="84"/>
      <c r="K14" s="84"/>
    </row>
    <row r="15" spans="1:21" ht="13.5" thickBot="1">
      <c r="A15" s="34" t="s">
        <v>24</v>
      </c>
      <c r="B15" s="17" t="s">
        <v>182</v>
      </c>
      <c r="C15" s="174" t="s">
        <v>183</v>
      </c>
      <c r="D15" s="55" t="s">
        <v>177</v>
      </c>
      <c r="E15" s="31">
        <v>44896</v>
      </c>
      <c r="F15" s="18">
        <v>44531</v>
      </c>
      <c r="G15" s="18">
        <v>44166</v>
      </c>
      <c r="H15" s="18">
        <v>43800</v>
      </c>
      <c r="I15" s="18">
        <v>43435</v>
      </c>
      <c r="J15" s="18">
        <v>43070</v>
      </c>
      <c r="K15" s="18">
        <v>42705</v>
      </c>
      <c r="L15" s="57">
        <f>L1</f>
        <v>42339</v>
      </c>
      <c r="M15" s="57">
        <f>M1</f>
        <v>41974</v>
      </c>
      <c r="N15" s="57">
        <v>41609</v>
      </c>
      <c r="O15" s="57">
        <v>41244</v>
      </c>
      <c r="P15" s="57">
        <v>40878</v>
      </c>
      <c r="Q15" s="57">
        <v>40513</v>
      </c>
      <c r="R15" s="57">
        <v>40148</v>
      </c>
      <c r="S15" s="57">
        <v>39783</v>
      </c>
      <c r="T15" s="35">
        <v>39417</v>
      </c>
      <c r="U15" s="98">
        <v>39052</v>
      </c>
    </row>
    <row r="16" spans="1:21" ht="12.75">
      <c r="A16" s="37" t="s">
        <v>6</v>
      </c>
      <c r="B16" s="38">
        <f aca="true" t="shared" si="2" ref="B16:B21">(E16-F16)/F16</f>
        <v>0.7881944444444444</v>
      </c>
      <c r="C16" s="196">
        <f>E16-'[1]Czech Republic'!C16</f>
        <v>-261</v>
      </c>
      <c r="D16" s="71">
        <f>F16-'[1]Czech Republic'!D16</f>
        <v>-315</v>
      </c>
      <c r="E16" s="39">
        <v>1545</v>
      </c>
      <c r="F16" s="83">
        <v>864</v>
      </c>
      <c r="G16" s="71">
        <v>1789</v>
      </c>
      <c r="H16" s="83">
        <v>2630</v>
      </c>
      <c r="I16" s="133">
        <v>1335</v>
      </c>
      <c r="J16" s="133">
        <v>1444</v>
      </c>
      <c r="K16" s="71">
        <v>1016</v>
      </c>
      <c r="L16" s="71">
        <v>2954</v>
      </c>
      <c r="M16" s="71">
        <v>368</v>
      </c>
      <c r="N16" s="71">
        <v>1537</v>
      </c>
      <c r="O16" s="71">
        <v>131</v>
      </c>
      <c r="P16" s="71">
        <v>705</v>
      </c>
      <c r="Q16" s="71">
        <v>79</v>
      </c>
      <c r="R16" s="71">
        <v>141</v>
      </c>
      <c r="S16" s="71">
        <v>0</v>
      </c>
      <c r="T16" s="71">
        <v>0</v>
      </c>
      <c r="U16" s="72">
        <v>20</v>
      </c>
    </row>
    <row r="17" spans="1:21" ht="12.75">
      <c r="A17" s="37" t="s">
        <v>41</v>
      </c>
      <c r="B17" s="38">
        <f t="shared" si="2"/>
        <v>0.3793103448275862</v>
      </c>
      <c r="C17" s="196">
        <f>E17-'[1]Czech Republic'!C17</f>
        <v>-280</v>
      </c>
      <c r="D17" s="71">
        <f>F17-'[1]Czech Republic'!D17</f>
        <v>-159</v>
      </c>
      <c r="E17" s="39">
        <v>40</v>
      </c>
      <c r="F17" s="83">
        <v>29</v>
      </c>
      <c r="G17" s="71">
        <v>39</v>
      </c>
      <c r="H17" s="83">
        <v>30</v>
      </c>
      <c r="I17" s="133">
        <v>19</v>
      </c>
      <c r="J17" s="133">
        <v>0</v>
      </c>
      <c r="K17" s="71">
        <v>31</v>
      </c>
      <c r="L17" s="71">
        <v>47</v>
      </c>
      <c r="M17" s="71">
        <v>2</v>
      </c>
      <c r="N17" s="71">
        <v>84</v>
      </c>
      <c r="O17" s="71">
        <v>0</v>
      </c>
      <c r="P17" s="71">
        <v>57</v>
      </c>
      <c r="Q17" s="71">
        <v>100</v>
      </c>
      <c r="R17" s="71">
        <v>10</v>
      </c>
      <c r="S17" s="71">
        <v>0</v>
      </c>
      <c r="T17" s="71">
        <v>0</v>
      </c>
      <c r="U17" s="72">
        <v>35</v>
      </c>
    </row>
    <row r="18" spans="1:21" ht="12.75">
      <c r="A18" s="37" t="s">
        <v>155</v>
      </c>
      <c r="B18" s="38">
        <f t="shared" si="2"/>
        <v>-0.6739130434782609</v>
      </c>
      <c r="C18" s="196">
        <f>E18-'[1]Czech Republic'!C18</f>
        <v>-34</v>
      </c>
      <c r="D18" s="71">
        <f>F18-'[1]Czech Republic'!D18</f>
        <v>-44</v>
      </c>
      <c r="E18" s="39">
        <v>150</v>
      </c>
      <c r="F18" s="83">
        <v>460</v>
      </c>
      <c r="G18" s="71">
        <v>520</v>
      </c>
      <c r="H18" s="83">
        <v>151</v>
      </c>
      <c r="I18" s="133">
        <v>315</v>
      </c>
      <c r="J18" s="133">
        <v>112</v>
      </c>
      <c r="K18" s="71">
        <v>170</v>
      </c>
      <c r="L18" s="71">
        <v>167</v>
      </c>
      <c r="M18" s="71">
        <v>70</v>
      </c>
      <c r="N18" s="71">
        <v>145</v>
      </c>
      <c r="O18" s="71">
        <v>143</v>
      </c>
      <c r="P18" s="71"/>
      <c r="Q18" s="71"/>
      <c r="R18" s="71"/>
      <c r="S18" s="71"/>
      <c r="T18" s="71"/>
      <c r="U18" s="72"/>
    </row>
    <row r="19" spans="1:21" ht="12.75">
      <c r="A19" s="37" t="s">
        <v>156</v>
      </c>
      <c r="B19" s="38">
        <f t="shared" si="2"/>
        <v>-0.6495098039215687</v>
      </c>
      <c r="C19" s="196">
        <f>E19-'[1]Czech Republic'!C19</f>
        <v>-294</v>
      </c>
      <c r="D19" s="71">
        <f>F19-'[1]Czech Republic'!D19</f>
        <v>-745</v>
      </c>
      <c r="E19" s="39">
        <v>143</v>
      </c>
      <c r="F19" s="83">
        <v>408</v>
      </c>
      <c r="G19" s="71">
        <v>1007</v>
      </c>
      <c r="H19" s="83">
        <v>381</v>
      </c>
      <c r="I19" s="133">
        <v>469</v>
      </c>
      <c r="J19" s="133">
        <v>154</v>
      </c>
      <c r="K19" s="71">
        <v>149</v>
      </c>
      <c r="L19" s="71">
        <v>1086</v>
      </c>
      <c r="M19" s="71">
        <v>60</v>
      </c>
      <c r="N19" s="71">
        <v>788</v>
      </c>
      <c r="O19" s="71">
        <v>484</v>
      </c>
      <c r="P19" s="71"/>
      <c r="Q19" s="71"/>
      <c r="R19" s="71"/>
      <c r="S19" s="71"/>
      <c r="T19" s="71"/>
      <c r="U19" s="72"/>
    </row>
    <row r="20" spans="1:22" ht="13.5" thickBot="1">
      <c r="A20" s="44" t="s">
        <v>5</v>
      </c>
      <c r="B20" s="38">
        <f t="shared" si="2"/>
        <v>-0.18652849740932642</v>
      </c>
      <c r="C20" s="196">
        <f>E20-'[1]Czech Republic'!C20</f>
        <v>-72</v>
      </c>
      <c r="D20" s="71">
        <f>F20-'[1]Czech Republic'!D20</f>
        <v>-166</v>
      </c>
      <c r="E20" s="39">
        <v>157</v>
      </c>
      <c r="F20" s="83">
        <v>193</v>
      </c>
      <c r="G20" s="71">
        <v>232</v>
      </c>
      <c r="H20" s="83">
        <v>100</v>
      </c>
      <c r="I20" s="133">
        <v>210</v>
      </c>
      <c r="J20" s="133">
        <v>9</v>
      </c>
      <c r="K20" s="106">
        <v>38</v>
      </c>
      <c r="L20" s="106">
        <v>39</v>
      </c>
      <c r="M20" s="106">
        <v>98</v>
      </c>
      <c r="N20" s="106">
        <v>140</v>
      </c>
      <c r="O20" s="106">
        <v>98</v>
      </c>
      <c r="P20" s="106">
        <v>464</v>
      </c>
      <c r="Q20" s="106">
        <v>504</v>
      </c>
      <c r="R20" s="106">
        <v>536</v>
      </c>
      <c r="S20" s="106">
        <v>0</v>
      </c>
      <c r="T20" s="106">
        <v>38</v>
      </c>
      <c r="U20" s="101">
        <v>101</v>
      </c>
      <c r="V20" s="85"/>
    </row>
    <row r="21" spans="1:22" ht="13.5" thickBot="1">
      <c r="A21" s="49" t="s">
        <v>93</v>
      </c>
      <c r="B21" s="50">
        <f t="shared" si="2"/>
        <v>0.041453428863868984</v>
      </c>
      <c r="C21" s="197">
        <f>E21-'[1]Czech Republic'!C21</f>
        <v>-941</v>
      </c>
      <c r="D21" s="102">
        <f>F21-'[1]Czech Republic'!D21</f>
        <v>-1429</v>
      </c>
      <c r="E21" s="51">
        <f>SUM(E16:E20)</f>
        <v>2035</v>
      </c>
      <c r="F21" s="102">
        <f>SUM(F16:F20)</f>
        <v>1954</v>
      </c>
      <c r="G21" s="102">
        <f>SUM(G16:G20)</f>
        <v>3587</v>
      </c>
      <c r="H21" s="102">
        <f>SUM(H16:H20)</f>
        <v>3292</v>
      </c>
      <c r="I21" s="186">
        <v>2348</v>
      </c>
      <c r="J21" s="186">
        <v>1719</v>
      </c>
      <c r="K21" s="102">
        <f>SUM(K16:K20)</f>
        <v>1404</v>
      </c>
      <c r="L21" s="102">
        <f>SUM(L16:L20)</f>
        <v>4293</v>
      </c>
      <c r="M21" s="102">
        <f aca="true" t="shared" si="3" ref="M21:R21">SUM(M16:M20)</f>
        <v>598</v>
      </c>
      <c r="N21" s="102">
        <f t="shared" si="3"/>
        <v>2694</v>
      </c>
      <c r="O21" s="102">
        <f t="shared" si="3"/>
        <v>856</v>
      </c>
      <c r="P21" s="102">
        <f t="shared" si="3"/>
        <v>1226</v>
      </c>
      <c r="Q21" s="102">
        <f t="shared" si="3"/>
        <v>683</v>
      </c>
      <c r="R21" s="102">
        <f t="shared" si="3"/>
        <v>687</v>
      </c>
      <c r="S21" s="102">
        <v>0</v>
      </c>
      <c r="T21" s="52">
        <f>SUM(T16:T20)</f>
        <v>38</v>
      </c>
      <c r="U21" s="53">
        <f>SUM(U16:U20)</f>
        <v>156</v>
      </c>
      <c r="V21" s="85"/>
    </row>
    <row r="22" spans="12:19" ht="12.75">
      <c r="L22" s="33"/>
      <c r="M22" s="33"/>
      <c r="N22" s="33"/>
      <c r="O22" s="33"/>
      <c r="P22" s="33"/>
      <c r="Q22" s="33"/>
      <c r="R22" s="33"/>
      <c r="S22" s="33"/>
    </row>
    <row r="23" spans="12:19" ht="12.75">
      <c r="L23" s="33"/>
      <c r="M23" s="33"/>
      <c r="N23" s="33"/>
      <c r="O23" s="33"/>
      <c r="P23" s="33"/>
      <c r="Q23" s="33"/>
      <c r="R23" s="33"/>
      <c r="S23" s="33"/>
    </row>
    <row r="24" spans="12:19" ht="12.75">
      <c r="L24" s="33"/>
      <c r="M24" s="33"/>
      <c r="N24" s="33"/>
      <c r="O24" s="33"/>
      <c r="P24" s="33"/>
      <c r="Q24" s="33"/>
      <c r="R24" s="33"/>
      <c r="S24" s="33"/>
    </row>
    <row r="25" spans="12:19" ht="12.75">
      <c r="L25" s="33"/>
      <c r="M25" s="33"/>
      <c r="N25" s="33"/>
      <c r="O25" s="33"/>
      <c r="P25" s="33"/>
      <c r="Q25" s="33"/>
      <c r="R25" s="33"/>
      <c r="S25" s="33"/>
    </row>
    <row r="26" spans="12:19" ht="12.75">
      <c r="L26" s="33"/>
      <c r="M26" s="33"/>
      <c r="N26" s="33"/>
      <c r="O26" s="33"/>
      <c r="P26" s="33"/>
      <c r="Q26" s="33"/>
      <c r="R26" s="33"/>
      <c r="S26" s="33"/>
    </row>
    <row r="27" spans="12:19" ht="12.75">
      <c r="L27" s="33"/>
      <c r="M27" s="33"/>
      <c r="N27" s="33"/>
      <c r="O27" s="33"/>
      <c r="P27" s="33"/>
      <c r="Q27" s="33"/>
      <c r="R27" s="33"/>
      <c r="S27" s="33"/>
    </row>
    <row r="28" spans="12:19" ht="12.75">
      <c r="L28" s="33"/>
      <c r="M28" s="33"/>
      <c r="N28" s="33"/>
      <c r="O28" s="33"/>
      <c r="P28" s="33"/>
      <c r="Q28" s="33"/>
      <c r="R28" s="33"/>
      <c r="S28" s="33"/>
    </row>
    <row r="29" spans="12:19" ht="12.75">
      <c r="L29" s="33"/>
      <c r="M29" s="33"/>
      <c r="N29" s="33"/>
      <c r="O29" s="33"/>
      <c r="P29" s="33"/>
      <c r="Q29" s="33"/>
      <c r="R29" s="33"/>
      <c r="S29" s="33"/>
    </row>
    <row r="30" spans="12:19" ht="12.75">
      <c r="L30" s="33"/>
      <c r="M30" s="33"/>
      <c r="N30" s="33"/>
      <c r="O30" s="33"/>
      <c r="P30" s="33"/>
      <c r="Q30" s="33"/>
      <c r="R30" s="33"/>
      <c r="S30" s="33"/>
    </row>
    <row r="31" spans="12:19" ht="12.75">
      <c r="L31" s="33"/>
      <c r="M31" s="33"/>
      <c r="N31" s="33"/>
      <c r="O31" s="33"/>
      <c r="P31" s="33"/>
      <c r="Q31" s="33"/>
      <c r="R31" s="33"/>
      <c r="S31" s="33"/>
    </row>
    <row r="32" spans="12:19" ht="12.75">
      <c r="L32" s="33"/>
      <c r="M32" s="33"/>
      <c r="N32" s="33"/>
      <c r="O32" s="33"/>
      <c r="P32" s="33"/>
      <c r="Q32" s="33"/>
      <c r="R32" s="33"/>
      <c r="S32" s="33"/>
    </row>
    <row r="33" spans="12:19" ht="12.75">
      <c r="L33" s="33"/>
      <c r="M33" s="33"/>
      <c r="N33" s="33"/>
      <c r="O33" s="33"/>
      <c r="P33" s="33"/>
      <c r="Q33" s="33"/>
      <c r="R33" s="33"/>
      <c r="S33" s="33"/>
    </row>
    <row r="34" spans="12:19" ht="12.75">
      <c r="L34" s="33"/>
      <c r="M34" s="33"/>
      <c r="N34" s="33"/>
      <c r="O34" s="33"/>
      <c r="P34" s="33"/>
      <c r="Q34" s="33"/>
      <c r="R34" s="33"/>
      <c r="S34" s="33"/>
    </row>
    <row r="35" spans="12:19" ht="12.75">
      <c r="L35" s="33"/>
      <c r="M35" s="33"/>
      <c r="N35" s="33"/>
      <c r="O35" s="33"/>
      <c r="P35" s="33"/>
      <c r="Q35" s="33"/>
      <c r="R35" s="33"/>
      <c r="S35" s="33"/>
    </row>
    <row r="36" spans="12:19" ht="12.75">
      <c r="L36" s="33"/>
      <c r="M36" s="33"/>
      <c r="N36" s="33"/>
      <c r="O36" s="33"/>
      <c r="P36" s="33"/>
      <c r="Q36" s="33"/>
      <c r="R36" s="33"/>
      <c r="S36" s="33"/>
    </row>
    <row r="37" spans="12:19" ht="12.75">
      <c r="L37" s="33"/>
      <c r="M37" s="33"/>
      <c r="N37" s="33"/>
      <c r="O37" s="33"/>
      <c r="P37" s="33"/>
      <c r="Q37" s="33"/>
      <c r="R37" s="33"/>
      <c r="S37" s="33"/>
    </row>
    <row r="38" spans="12:19" ht="12.75">
      <c r="L38" s="33"/>
      <c r="M38" s="33"/>
      <c r="N38" s="33"/>
      <c r="O38" s="33"/>
      <c r="P38" s="33"/>
      <c r="Q38" s="33"/>
      <c r="R38" s="33"/>
      <c r="S38" s="33"/>
    </row>
    <row r="39" spans="12:19" ht="12.75">
      <c r="L39" s="33"/>
      <c r="M39" s="33"/>
      <c r="N39" s="33"/>
      <c r="O39" s="33"/>
      <c r="P39" s="33"/>
      <c r="Q39" s="33"/>
      <c r="R39" s="33"/>
      <c r="S39" s="33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4.7109375" style="33" customWidth="1"/>
    <col min="2" max="2" width="10.7109375" style="33" customWidth="1"/>
    <col min="3" max="4" width="11.421875" style="33" bestFit="1" customWidth="1"/>
    <col min="5" max="5" width="11.421875" style="33" customWidth="1"/>
    <col min="6" max="8" width="11.421875" style="84" customWidth="1"/>
    <col min="9" max="10" width="10.7109375" style="84" customWidth="1"/>
    <col min="11" max="21" width="10.140625" style="33" bestFit="1" customWidth="1"/>
    <col min="22" max="16384" width="9.140625" style="33" customWidth="1"/>
  </cols>
  <sheetData>
    <row r="1" spans="1:21" ht="13.5" thickBot="1">
      <c r="A1" s="34" t="s">
        <v>23</v>
      </c>
      <c r="B1" s="17" t="s">
        <v>182</v>
      </c>
      <c r="C1" s="174" t="s">
        <v>183</v>
      </c>
      <c r="D1" s="55" t="s">
        <v>177</v>
      </c>
      <c r="E1" s="31">
        <v>44896</v>
      </c>
      <c r="F1" s="18">
        <v>44531</v>
      </c>
      <c r="G1" s="18">
        <v>44166</v>
      </c>
      <c r="H1" s="18">
        <v>43800</v>
      </c>
      <c r="I1" s="18">
        <v>43435</v>
      </c>
      <c r="J1" s="18">
        <v>43070</v>
      </c>
      <c r="K1" s="18">
        <v>42705</v>
      </c>
      <c r="L1" s="57">
        <v>42339</v>
      </c>
      <c r="M1" s="57">
        <v>41974</v>
      </c>
      <c r="N1" s="57">
        <v>41609</v>
      </c>
      <c r="O1" s="57">
        <v>41244</v>
      </c>
      <c r="P1" s="57">
        <v>40878</v>
      </c>
      <c r="Q1" s="57">
        <v>40513</v>
      </c>
      <c r="R1" s="57">
        <v>40148</v>
      </c>
      <c r="S1" s="57">
        <v>39783</v>
      </c>
      <c r="T1" s="35">
        <v>39417</v>
      </c>
      <c r="U1" s="98">
        <v>39052</v>
      </c>
    </row>
    <row r="2" spans="1:21" ht="12.75">
      <c r="A2" s="37" t="s">
        <v>3</v>
      </c>
      <c r="B2" s="38">
        <f>(E2-F2)/F2</f>
        <v>0.6666666666666666</v>
      </c>
      <c r="C2" s="196">
        <f>E2-'[1]Denmark'!C2</f>
        <v>-16</v>
      </c>
      <c r="D2" s="71">
        <f>F2-'[1]Denmark'!D2</f>
        <v>-70</v>
      </c>
      <c r="E2" s="39">
        <v>60</v>
      </c>
      <c r="F2" s="71">
        <v>36</v>
      </c>
      <c r="G2" s="71">
        <v>0</v>
      </c>
      <c r="H2" s="71">
        <v>29</v>
      </c>
      <c r="I2" s="71">
        <v>76</v>
      </c>
      <c r="J2" s="71">
        <v>57</v>
      </c>
      <c r="K2" s="71">
        <v>80</v>
      </c>
      <c r="L2" s="71">
        <v>132</v>
      </c>
      <c r="M2" s="71">
        <v>100</v>
      </c>
      <c r="N2" s="71">
        <v>86</v>
      </c>
      <c r="O2" s="71">
        <v>105</v>
      </c>
      <c r="P2" s="71">
        <v>170</v>
      </c>
      <c r="Q2" s="71">
        <v>146</v>
      </c>
      <c r="R2" s="71">
        <v>124</v>
      </c>
      <c r="S2" s="71">
        <v>335</v>
      </c>
      <c r="T2" s="40">
        <v>234</v>
      </c>
      <c r="U2" s="117">
        <v>147</v>
      </c>
    </row>
    <row r="3" spans="1:21" ht="12.75">
      <c r="A3" s="37" t="s">
        <v>107</v>
      </c>
      <c r="B3" s="38">
        <f>(E3-F3)/F3</f>
        <v>-0.5903614457831325</v>
      </c>
      <c r="C3" s="196">
        <f>E3-'[1]Denmark'!C3</f>
        <v>-33</v>
      </c>
      <c r="D3" s="71">
        <f>F3-'[1]Denmark'!D3</f>
        <v>136</v>
      </c>
      <c r="E3" s="39">
        <v>102</v>
      </c>
      <c r="F3" s="71">
        <v>249</v>
      </c>
      <c r="G3" s="71">
        <v>15</v>
      </c>
      <c r="H3" s="71">
        <v>385</v>
      </c>
      <c r="I3" s="71">
        <v>439</v>
      </c>
      <c r="J3" s="71">
        <v>376</v>
      </c>
      <c r="K3" s="71">
        <v>568</v>
      </c>
      <c r="L3" s="71">
        <v>491</v>
      </c>
      <c r="M3" s="71">
        <v>593</v>
      </c>
      <c r="N3" s="71">
        <v>575</v>
      </c>
      <c r="O3" s="71">
        <v>447</v>
      </c>
      <c r="P3" s="71">
        <v>536</v>
      </c>
      <c r="Q3" s="71">
        <v>399</v>
      </c>
      <c r="R3" s="71">
        <v>365</v>
      </c>
      <c r="S3" s="71">
        <v>223</v>
      </c>
      <c r="T3" s="40"/>
      <c r="U3" s="117"/>
    </row>
    <row r="4" spans="1:21" ht="12.75">
      <c r="A4" s="37" t="s">
        <v>4</v>
      </c>
      <c r="B4" s="38">
        <f>(E4-F4)/F4</f>
        <v>0.2583732057416268</v>
      </c>
      <c r="C4" s="196">
        <f>E4-'[1]Denmark'!C4</f>
        <v>-112</v>
      </c>
      <c r="D4" s="71">
        <f>F4-'[1]Denmark'!D4</f>
        <v>-167</v>
      </c>
      <c r="E4" s="39">
        <v>263</v>
      </c>
      <c r="F4" s="71">
        <v>209</v>
      </c>
      <c r="G4" s="71">
        <v>45</v>
      </c>
      <c r="H4" s="71">
        <v>336</v>
      </c>
      <c r="I4" s="71">
        <v>657</v>
      </c>
      <c r="J4" s="71">
        <v>313</v>
      </c>
      <c r="K4" s="71">
        <v>532</v>
      </c>
      <c r="L4" s="71">
        <v>656</v>
      </c>
      <c r="M4" s="71">
        <v>577</v>
      </c>
      <c r="N4" s="71">
        <v>473</v>
      </c>
      <c r="O4" s="71">
        <v>373</v>
      </c>
      <c r="P4" s="71">
        <v>437</v>
      </c>
      <c r="Q4" s="71">
        <v>549</v>
      </c>
      <c r="R4" s="71">
        <v>388</v>
      </c>
      <c r="S4" s="71">
        <v>565</v>
      </c>
      <c r="T4" s="40">
        <v>1343</v>
      </c>
      <c r="U4" s="117">
        <v>837</v>
      </c>
    </row>
    <row r="5" spans="1:21" ht="12.75">
      <c r="A5" s="37" t="s">
        <v>1</v>
      </c>
      <c r="B5" s="38">
        <f>(E5-F5)/F5</f>
        <v>-0.10354291417165669</v>
      </c>
      <c r="C5" s="196">
        <f>E5-'[1]Denmark'!C5</f>
        <v>-1101</v>
      </c>
      <c r="D5" s="71">
        <f>F5-'[1]Denmark'!D5</f>
        <v>-790</v>
      </c>
      <c r="E5" s="39">
        <v>3593</v>
      </c>
      <c r="F5" s="71">
        <v>4008</v>
      </c>
      <c r="G5" s="71">
        <v>2499</v>
      </c>
      <c r="H5" s="71">
        <v>3746</v>
      </c>
      <c r="I5" s="71">
        <v>4874</v>
      </c>
      <c r="J5" s="71">
        <v>2674</v>
      </c>
      <c r="K5" s="71">
        <v>3959</v>
      </c>
      <c r="L5" s="71">
        <v>3901</v>
      </c>
      <c r="M5" s="71">
        <v>3803</v>
      </c>
      <c r="N5" s="71">
        <v>3352</v>
      </c>
      <c r="O5" s="71">
        <v>2437</v>
      </c>
      <c r="P5" s="71">
        <v>3308</v>
      </c>
      <c r="Q5" s="71">
        <v>2420</v>
      </c>
      <c r="R5" s="71">
        <v>3063</v>
      </c>
      <c r="S5" s="71">
        <v>3688</v>
      </c>
      <c r="T5" s="40">
        <v>2505</v>
      </c>
      <c r="U5" s="117">
        <v>2069</v>
      </c>
    </row>
    <row r="6" spans="1:21" ht="12.75">
      <c r="A6" s="37" t="s">
        <v>11</v>
      </c>
      <c r="B6" s="38"/>
      <c r="C6" s="196">
        <f>E6-'[1]Denmark'!C6</f>
        <v>-7</v>
      </c>
      <c r="D6" s="71">
        <f>F6-'[1]Denmark'!D6</f>
        <v>-18</v>
      </c>
      <c r="E6" s="39"/>
      <c r="F6" s="71">
        <v>0</v>
      </c>
      <c r="G6" s="71"/>
      <c r="H6" s="71">
        <v>5</v>
      </c>
      <c r="I6" s="71">
        <v>16</v>
      </c>
      <c r="J6" s="71">
        <v>24</v>
      </c>
      <c r="K6" s="71">
        <v>17</v>
      </c>
      <c r="L6" s="71">
        <v>17</v>
      </c>
      <c r="M6" s="71"/>
      <c r="N6" s="71">
        <v>29</v>
      </c>
      <c r="O6" s="71">
        <v>8</v>
      </c>
      <c r="P6" s="71">
        <v>0</v>
      </c>
      <c r="Q6" s="71">
        <v>3</v>
      </c>
      <c r="R6" s="71">
        <v>0</v>
      </c>
      <c r="S6" s="71">
        <v>5</v>
      </c>
      <c r="T6" s="40"/>
      <c r="U6" s="117"/>
    </row>
    <row r="7" spans="1:21" ht="12.75">
      <c r="A7" s="37" t="s">
        <v>8</v>
      </c>
      <c r="B7" s="38">
        <f>(E7-F7)/F7</f>
        <v>-0.4214876033057851</v>
      </c>
      <c r="C7" s="196">
        <f>E7-'[1]Denmark'!C7</f>
        <v>-35</v>
      </c>
      <c r="D7" s="71">
        <f>F7-'[1]Denmark'!D7</f>
        <v>-46</v>
      </c>
      <c r="E7" s="39">
        <v>140</v>
      </c>
      <c r="F7" s="71">
        <v>242</v>
      </c>
      <c r="G7" s="71">
        <v>156</v>
      </c>
      <c r="H7" s="71">
        <v>240</v>
      </c>
      <c r="I7" s="71">
        <v>606</v>
      </c>
      <c r="J7" s="71">
        <v>314</v>
      </c>
      <c r="K7" s="71">
        <v>562</v>
      </c>
      <c r="L7" s="71">
        <v>425</v>
      </c>
      <c r="M7" s="71">
        <v>392</v>
      </c>
      <c r="N7" s="71">
        <v>335</v>
      </c>
      <c r="O7" s="71">
        <v>184</v>
      </c>
      <c r="P7" s="71">
        <v>262</v>
      </c>
      <c r="Q7" s="71">
        <v>259</v>
      </c>
      <c r="R7" s="71">
        <v>284</v>
      </c>
      <c r="S7" s="71">
        <v>45</v>
      </c>
      <c r="T7" s="40"/>
      <c r="U7" s="117"/>
    </row>
    <row r="8" spans="1:21" ht="12.75">
      <c r="A8" s="37" t="s">
        <v>13</v>
      </c>
      <c r="B8" s="38"/>
      <c r="C8" s="196">
        <f>E8-'[1]Denmark'!C8</f>
        <v>0</v>
      </c>
      <c r="D8" s="71">
        <f>F8-'[1]Denmark'!D8</f>
        <v>-11</v>
      </c>
      <c r="E8" s="39"/>
      <c r="F8" s="71">
        <v>0</v>
      </c>
      <c r="G8" s="71">
        <v>0</v>
      </c>
      <c r="H8" s="71"/>
      <c r="I8" s="71">
        <v>0</v>
      </c>
      <c r="J8" s="71">
        <v>0</v>
      </c>
      <c r="K8" s="71">
        <v>0</v>
      </c>
      <c r="L8" s="71">
        <v>4</v>
      </c>
      <c r="M8" s="71"/>
      <c r="N8" s="71">
        <v>10</v>
      </c>
      <c r="O8" s="71">
        <v>60</v>
      </c>
      <c r="P8" s="71">
        <v>84</v>
      </c>
      <c r="Q8" s="71">
        <v>62</v>
      </c>
      <c r="R8" s="71">
        <v>116</v>
      </c>
      <c r="S8" s="71">
        <v>399</v>
      </c>
      <c r="T8" s="40">
        <v>331</v>
      </c>
      <c r="U8" s="117">
        <v>405</v>
      </c>
    </row>
    <row r="9" spans="1:21" ht="12.75">
      <c r="A9" s="37" t="s">
        <v>16</v>
      </c>
      <c r="B9" s="38"/>
      <c r="C9" s="196">
        <f>E9-'[1]Denmark'!C9</f>
        <v>0</v>
      </c>
      <c r="D9" s="71">
        <f>F9-'[1]Denmark'!D9</f>
        <v>0</v>
      </c>
      <c r="E9" s="39"/>
      <c r="F9" s="71"/>
      <c r="G9" s="71">
        <v>3</v>
      </c>
      <c r="H9" s="71">
        <v>10</v>
      </c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40"/>
      <c r="U9" s="117"/>
    </row>
    <row r="10" spans="1:21" ht="12.75">
      <c r="A10" s="37" t="s">
        <v>14</v>
      </c>
      <c r="B10" s="38">
        <f aca="true" t="shared" si="0" ref="B10:B15">(E10-F10)/F10</f>
        <v>1.3714285714285714</v>
      </c>
      <c r="C10" s="196">
        <f>E10-'[1]Denmark'!C10</f>
        <v>-192</v>
      </c>
      <c r="D10" s="71">
        <f>F10-'[1]Denmark'!D10</f>
        <v>-133</v>
      </c>
      <c r="E10" s="39">
        <v>166</v>
      </c>
      <c r="F10" s="71">
        <v>70</v>
      </c>
      <c r="G10" s="71">
        <v>0</v>
      </c>
      <c r="H10" s="71">
        <v>0</v>
      </c>
      <c r="I10" s="71">
        <v>287</v>
      </c>
      <c r="J10" s="71">
        <v>27</v>
      </c>
      <c r="K10" s="71">
        <v>299</v>
      </c>
      <c r="L10" s="71">
        <v>238</v>
      </c>
      <c r="M10" s="71">
        <v>318</v>
      </c>
      <c r="N10" s="71">
        <v>274</v>
      </c>
      <c r="O10" s="71">
        <v>100</v>
      </c>
      <c r="P10" s="71">
        <v>316</v>
      </c>
      <c r="Q10" s="71">
        <v>337</v>
      </c>
      <c r="R10" s="71">
        <v>381</v>
      </c>
      <c r="S10" s="71">
        <v>784</v>
      </c>
      <c r="T10" s="40"/>
      <c r="U10" s="117"/>
    </row>
    <row r="11" spans="1:22" ht="12.75">
      <c r="A11" s="37" t="s">
        <v>9</v>
      </c>
      <c r="B11" s="38">
        <f t="shared" si="0"/>
        <v>-1</v>
      </c>
      <c r="C11" s="196">
        <f>E11-'[1]Denmark'!C11</f>
        <v>0</v>
      </c>
      <c r="D11" s="71">
        <f>F11-'[1]Denmark'!D11</f>
        <v>0</v>
      </c>
      <c r="E11" s="39"/>
      <c r="F11" s="71">
        <v>14</v>
      </c>
      <c r="G11" s="71">
        <v>0</v>
      </c>
      <c r="H11" s="71">
        <v>15</v>
      </c>
      <c r="I11" s="71">
        <v>14</v>
      </c>
      <c r="J11" s="71">
        <v>17</v>
      </c>
      <c r="K11" s="71"/>
      <c r="L11" s="71"/>
      <c r="M11" s="71"/>
      <c r="N11" s="71">
        <v>21</v>
      </c>
      <c r="O11" s="71">
        <v>5</v>
      </c>
      <c r="P11" s="71">
        <v>11</v>
      </c>
      <c r="Q11" s="71">
        <v>16</v>
      </c>
      <c r="R11" s="71">
        <v>34</v>
      </c>
      <c r="S11" s="71">
        <v>34</v>
      </c>
      <c r="T11" s="40"/>
      <c r="U11" s="117"/>
      <c r="V11" s="85"/>
    </row>
    <row r="12" spans="1:21" ht="12.75">
      <c r="A12" s="37" t="s">
        <v>109</v>
      </c>
      <c r="B12" s="38">
        <f t="shared" si="0"/>
        <v>-0.05898681471200555</v>
      </c>
      <c r="C12" s="196">
        <f>E12-'[1]Denmark'!C12</f>
        <v>1356</v>
      </c>
      <c r="D12" s="71">
        <f>F12-'[1]Denmark'!D12</f>
        <v>-695</v>
      </c>
      <c r="E12" s="39">
        <v>1356</v>
      </c>
      <c r="F12" s="71">
        <v>1441</v>
      </c>
      <c r="G12" s="71">
        <v>180</v>
      </c>
      <c r="H12" s="71">
        <v>338</v>
      </c>
      <c r="I12" s="71">
        <v>2011</v>
      </c>
      <c r="J12" s="71">
        <v>754</v>
      </c>
      <c r="K12" s="71">
        <v>2380</v>
      </c>
      <c r="L12" s="71">
        <v>2215</v>
      </c>
      <c r="M12" s="71">
        <v>1333</v>
      </c>
      <c r="N12" s="71">
        <v>2003</v>
      </c>
      <c r="O12" s="71">
        <v>814</v>
      </c>
      <c r="P12" s="71">
        <v>1115</v>
      </c>
      <c r="Q12" s="71">
        <v>1185</v>
      </c>
      <c r="R12" s="71">
        <v>1063</v>
      </c>
      <c r="S12" s="71">
        <v>1923</v>
      </c>
      <c r="T12" s="40"/>
      <c r="U12" s="117"/>
    </row>
    <row r="13" spans="1:22" ht="12.75">
      <c r="A13" s="37" t="s">
        <v>26</v>
      </c>
      <c r="B13" s="38">
        <f t="shared" si="0"/>
        <v>-0.6190476190476191</v>
      </c>
      <c r="C13" s="196">
        <f>E13-'[1]Denmark'!C13</f>
        <v>-2</v>
      </c>
      <c r="D13" s="71">
        <f>F13-'[1]Denmark'!D13</f>
        <v>0</v>
      </c>
      <c r="E13" s="39">
        <v>8</v>
      </c>
      <c r="F13" s="71">
        <v>21</v>
      </c>
      <c r="G13" s="71">
        <v>28</v>
      </c>
      <c r="H13" s="71">
        <v>0</v>
      </c>
      <c r="I13" s="71">
        <v>51</v>
      </c>
      <c r="J13" s="71">
        <v>32</v>
      </c>
      <c r="K13" s="71">
        <v>35</v>
      </c>
      <c r="L13" s="71">
        <v>22</v>
      </c>
      <c r="M13" s="71">
        <v>45</v>
      </c>
      <c r="N13" s="71">
        <v>43</v>
      </c>
      <c r="O13" s="71"/>
      <c r="P13" s="71"/>
      <c r="Q13" s="71"/>
      <c r="R13" s="71">
        <v>165</v>
      </c>
      <c r="S13" s="71">
        <v>15</v>
      </c>
      <c r="T13" s="40"/>
      <c r="U13" s="117"/>
      <c r="V13" s="85"/>
    </row>
    <row r="14" spans="1:21" ht="12.75">
      <c r="A14" s="37" t="s">
        <v>25</v>
      </c>
      <c r="B14" s="38">
        <f t="shared" si="0"/>
        <v>-0.4894957983193277</v>
      </c>
      <c r="C14" s="196">
        <f>E14-'[1]Denmark'!C14</f>
        <v>-15</v>
      </c>
      <c r="D14" s="71">
        <f>F14-'[1]Denmark'!D14</f>
        <v>253</v>
      </c>
      <c r="E14" s="39">
        <v>729</v>
      </c>
      <c r="F14" s="71">
        <v>1428</v>
      </c>
      <c r="G14" s="71">
        <v>1684</v>
      </c>
      <c r="H14" s="71">
        <v>1192</v>
      </c>
      <c r="I14" s="71">
        <v>2800</v>
      </c>
      <c r="J14" s="71">
        <v>1985</v>
      </c>
      <c r="K14" s="71">
        <v>2851</v>
      </c>
      <c r="L14" s="71">
        <v>2420</v>
      </c>
      <c r="M14" s="71">
        <v>2641</v>
      </c>
      <c r="N14" s="71">
        <v>2298</v>
      </c>
      <c r="O14" s="71">
        <v>1958</v>
      </c>
      <c r="P14" s="71">
        <v>2688</v>
      </c>
      <c r="Q14" s="71">
        <v>2444</v>
      </c>
      <c r="R14" s="71">
        <v>3208</v>
      </c>
      <c r="S14" s="71">
        <v>3980</v>
      </c>
      <c r="T14" s="40">
        <v>3659</v>
      </c>
      <c r="U14" s="117">
        <v>3252</v>
      </c>
    </row>
    <row r="15" spans="1:21" ht="12.75">
      <c r="A15" s="37" t="s">
        <v>108</v>
      </c>
      <c r="B15" s="38">
        <f t="shared" si="0"/>
        <v>-0.06896551724137931</v>
      </c>
      <c r="C15" s="196">
        <f>E15-'[1]Denmark'!C15</f>
        <v>-63</v>
      </c>
      <c r="D15" s="71">
        <f>F15-'[1]Denmark'!D15</f>
        <v>-77</v>
      </c>
      <c r="E15" s="39">
        <v>27</v>
      </c>
      <c r="F15" s="71">
        <v>29</v>
      </c>
      <c r="G15" s="71">
        <v>0</v>
      </c>
      <c r="H15" s="71">
        <v>66</v>
      </c>
      <c r="I15" s="71">
        <v>139</v>
      </c>
      <c r="J15" s="71">
        <v>86</v>
      </c>
      <c r="K15" s="71">
        <v>105</v>
      </c>
      <c r="L15" s="71">
        <v>196</v>
      </c>
      <c r="M15" s="71">
        <v>176</v>
      </c>
      <c r="N15" s="71">
        <v>149</v>
      </c>
      <c r="O15" s="71">
        <v>144</v>
      </c>
      <c r="P15" s="71">
        <v>232</v>
      </c>
      <c r="Q15" s="71">
        <v>169</v>
      </c>
      <c r="R15" s="71">
        <v>174</v>
      </c>
      <c r="S15" s="71">
        <v>295</v>
      </c>
      <c r="T15" s="40"/>
      <c r="U15" s="117"/>
    </row>
    <row r="16" spans="1:21" ht="12.75">
      <c r="A16" s="37" t="s">
        <v>12</v>
      </c>
      <c r="B16" s="38"/>
      <c r="C16" s="196">
        <f>E16-'[1]Denmark'!C16</f>
        <v>0</v>
      </c>
      <c r="D16" s="71">
        <f>F16-'[1]Denmark'!D16</f>
        <v>0</v>
      </c>
      <c r="E16" s="39"/>
      <c r="F16" s="71"/>
      <c r="G16" s="71"/>
      <c r="H16" s="71"/>
      <c r="I16" s="71"/>
      <c r="J16" s="71"/>
      <c r="K16" s="71"/>
      <c r="L16" s="71"/>
      <c r="M16" s="71"/>
      <c r="N16" s="71">
        <v>33</v>
      </c>
      <c r="O16" s="71">
        <v>0</v>
      </c>
      <c r="P16" s="71"/>
      <c r="Q16" s="71"/>
      <c r="R16" s="71">
        <v>42</v>
      </c>
      <c r="S16" s="71">
        <v>46</v>
      </c>
      <c r="T16" s="40"/>
      <c r="U16" s="117"/>
    </row>
    <row r="17" spans="1:21" ht="12.75">
      <c r="A17" s="37" t="s">
        <v>34</v>
      </c>
      <c r="B17" s="38"/>
      <c r="C17" s="196">
        <f>E17-'[1]Denmark'!C17</f>
        <v>0</v>
      </c>
      <c r="D17" s="71">
        <f>F17-'[1]Denmark'!D17</f>
        <v>0</v>
      </c>
      <c r="E17" s="39"/>
      <c r="F17" s="71"/>
      <c r="G17" s="71"/>
      <c r="H17" s="71">
        <v>14</v>
      </c>
      <c r="I17" s="71">
        <v>18</v>
      </c>
      <c r="J17" s="71">
        <v>0</v>
      </c>
      <c r="K17" s="71">
        <v>26</v>
      </c>
      <c r="L17" s="71">
        <v>5</v>
      </c>
      <c r="M17" s="71">
        <v>23</v>
      </c>
      <c r="N17" s="71">
        <v>22</v>
      </c>
      <c r="O17" s="71">
        <v>12</v>
      </c>
      <c r="P17" s="71">
        <v>11</v>
      </c>
      <c r="Q17" s="71"/>
      <c r="R17" s="71"/>
      <c r="S17" s="71"/>
      <c r="T17" s="40"/>
      <c r="U17" s="117"/>
    </row>
    <row r="18" spans="1:21" ht="12.75">
      <c r="A18" s="37" t="s">
        <v>86</v>
      </c>
      <c r="B18" s="38">
        <f>(E18-F18)/F18</f>
        <v>0.20588235294117646</v>
      </c>
      <c r="C18" s="196">
        <f>E18-'[1]Denmark'!C18</f>
        <v>-2717</v>
      </c>
      <c r="D18" s="71">
        <f>F18-'[1]Denmark'!D18</f>
        <v>958</v>
      </c>
      <c r="E18" s="39">
        <v>3813</v>
      </c>
      <c r="F18" s="71">
        <f>2380+782</f>
        <v>3162</v>
      </c>
      <c r="G18" s="71">
        <f>1401+518</f>
        <v>1919</v>
      </c>
      <c r="H18" s="71">
        <v>1782</v>
      </c>
      <c r="I18" s="71">
        <v>2148</v>
      </c>
      <c r="J18" s="71">
        <v>1064</v>
      </c>
      <c r="K18" s="71">
        <v>1723</v>
      </c>
      <c r="L18" s="71">
        <v>1258</v>
      </c>
      <c r="M18" s="71">
        <v>1083</v>
      </c>
      <c r="N18" s="71">
        <v>1148</v>
      </c>
      <c r="O18" s="71">
        <v>929</v>
      </c>
      <c r="P18" s="71">
        <v>515</v>
      </c>
      <c r="Q18" s="71">
        <v>460</v>
      </c>
      <c r="R18" s="71">
        <v>465</v>
      </c>
      <c r="S18" s="71">
        <v>265</v>
      </c>
      <c r="T18" s="40"/>
      <c r="U18" s="117"/>
    </row>
    <row r="19" spans="1:21" ht="13.5" thickBot="1">
      <c r="A19" s="37" t="s">
        <v>5</v>
      </c>
      <c r="B19" s="38">
        <f>(E19-F19)/F19</f>
        <v>0.07407407407407407</v>
      </c>
      <c r="C19" s="196">
        <f>E19-'[1]Denmark'!C19</f>
        <v>-191</v>
      </c>
      <c r="D19" s="71">
        <f>F19-'[1]Denmark'!D19</f>
        <v>-1382</v>
      </c>
      <c r="E19" s="39">
        <v>232</v>
      </c>
      <c r="F19" s="71">
        <f>205+11</f>
        <v>216</v>
      </c>
      <c r="G19" s="71">
        <f>140+6</f>
        <v>146</v>
      </c>
      <c r="H19" s="71">
        <v>1008</v>
      </c>
      <c r="I19" s="71">
        <v>660</v>
      </c>
      <c r="J19" s="71">
        <v>157</v>
      </c>
      <c r="K19" s="71">
        <v>419</v>
      </c>
      <c r="L19" s="71">
        <v>307</v>
      </c>
      <c r="M19" s="71">
        <v>197</v>
      </c>
      <c r="N19" s="71">
        <v>254</v>
      </c>
      <c r="O19" s="71">
        <v>218</v>
      </c>
      <c r="P19" s="71">
        <v>294</v>
      </c>
      <c r="Q19" s="71">
        <v>109</v>
      </c>
      <c r="R19" s="71">
        <v>565</v>
      </c>
      <c r="S19" s="71">
        <v>734</v>
      </c>
      <c r="T19" s="40">
        <f>1785+6</f>
        <v>1791</v>
      </c>
      <c r="U19" s="117">
        <v>1548</v>
      </c>
    </row>
    <row r="20" spans="1:21" ht="13.5" thickBot="1">
      <c r="A20" s="34" t="s">
        <v>93</v>
      </c>
      <c r="B20" s="50">
        <f>(E20-F20)/F20</f>
        <v>-0.0571685393258427</v>
      </c>
      <c r="C20" s="197">
        <f>E20-'[1]Denmark'!C20</f>
        <v>-3128</v>
      </c>
      <c r="D20" s="102">
        <f>F20-'[1]Denmark'!D20</f>
        <v>-2042</v>
      </c>
      <c r="E20" s="51">
        <f>SUM(E2:E19)</f>
        <v>10489</v>
      </c>
      <c r="F20" s="228">
        <f>SUM(F2:F19)</f>
        <v>11125</v>
      </c>
      <c r="G20" s="102">
        <f>SUM(G2:G19)</f>
        <v>6675</v>
      </c>
      <c r="H20" s="102">
        <f>SUM(H2:H19)</f>
        <v>9166</v>
      </c>
      <c r="I20" s="102">
        <v>14796</v>
      </c>
      <c r="J20" s="102">
        <v>7880</v>
      </c>
      <c r="K20" s="102">
        <f>SUM(K2:K19)</f>
        <v>13556</v>
      </c>
      <c r="L20" s="102">
        <f>SUM(L2:L19)</f>
        <v>12287</v>
      </c>
      <c r="M20" s="102">
        <f>SUM(M2:M19)</f>
        <v>11281</v>
      </c>
      <c r="N20" s="102">
        <f>SUM(N2:N19)</f>
        <v>11105</v>
      </c>
      <c r="O20" s="102">
        <f>SUM(O2:O19)</f>
        <v>7794</v>
      </c>
      <c r="P20" s="102">
        <f aca="true" t="shared" si="1" ref="P20:U20">SUM(P2:P19)</f>
        <v>9979</v>
      </c>
      <c r="Q20" s="102">
        <f t="shared" si="1"/>
        <v>8558</v>
      </c>
      <c r="R20" s="102">
        <f t="shared" si="1"/>
        <v>10437</v>
      </c>
      <c r="S20" s="102">
        <f t="shared" si="1"/>
        <v>13336</v>
      </c>
      <c r="T20" s="52">
        <f t="shared" si="1"/>
        <v>9863</v>
      </c>
      <c r="U20" s="53">
        <f t="shared" si="1"/>
        <v>8258</v>
      </c>
    </row>
    <row r="21" spans="4:11" ht="12.75">
      <c r="D21" s="84"/>
      <c r="E21" s="84"/>
      <c r="K21" s="84"/>
    </row>
    <row r="22" spans="2:21" ht="13.5" thickBot="1">
      <c r="B22" s="36"/>
      <c r="C22" s="36"/>
      <c r="D22" s="128"/>
      <c r="E22" s="128"/>
      <c r="F22" s="128"/>
      <c r="G22" s="128"/>
      <c r="H22" s="128"/>
      <c r="I22" s="128"/>
      <c r="J22" s="128"/>
      <c r="K22" s="128"/>
      <c r="L22" s="36"/>
      <c r="M22" s="36"/>
      <c r="N22" s="36"/>
      <c r="O22" s="36"/>
      <c r="P22" s="36"/>
      <c r="Q22" s="36"/>
      <c r="R22" s="36"/>
      <c r="S22" s="36"/>
      <c r="T22" s="36"/>
      <c r="U22" s="36"/>
    </row>
    <row r="23" spans="1:21" s="36" customFormat="1" ht="13.5" thickBot="1">
      <c r="A23" s="34" t="s">
        <v>110</v>
      </c>
      <c r="B23" s="17" t="s">
        <v>182</v>
      </c>
      <c r="C23" s="174" t="s">
        <v>183</v>
      </c>
      <c r="D23" s="55" t="s">
        <v>177</v>
      </c>
      <c r="E23" s="31">
        <v>44896</v>
      </c>
      <c r="F23" s="18">
        <v>44531</v>
      </c>
      <c r="G23" s="18">
        <v>44166</v>
      </c>
      <c r="H23" s="18">
        <v>43800</v>
      </c>
      <c r="I23" s="18">
        <v>43435</v>
      </c>
      <c r="J23" s="18">
        <v>43070</v>
      </c>
      <c r="K23" s="18">
        <v>42705</v>
      </c>
      <c r="L23" s="57">
        <f>L1</f>
        <v>42339</v>
      </c>
      <c r="M23" s="57">
        <f>M1</f>
        <v>41974</v>
      </c>
      <c r="N23" s="57">
        <v>41609</v>
      </c>
      <c r="O23" s="57">
        <v>41244</v>
      </c>
      <c r="P23" s="57">
        <v>40878</v>
      </c>
      <c r="Q23" s="57">
        <v>40513</v>
      </c>
      <c r="R23" s="57">
        <v>40148</v>
      </c>
      <c r="S23" s="57">
        <v>39783</v>
      </c>
      <c r="T23" s="35">
        <v>39417</v>
      </c>
      <c r="U23" s="98">
        <v>39052</v>
      </c>
    </row>
    <row r="24" spans="1:21" ht="12.75">
      <c r="A24" s="37" t="s">
        <v>6</v>
      </c>
      <c r="B24" s="38">
        <f>(E24-F24)/F24</f>
        <v>6.176470588235294</v>
      </c>
      <c r="C24" s="196">
        <f>E24-'[1]Denmark'!C24</f>
        <v>-194</v>
      </c>
      <c r="D24" s="71">
        <f>F24-'[1]Denmark'!D24</f>
        <v>-197</v>
      </c>
      <c r="E24" s="39">
        <v>244</v>
      </c>
      <c r="F24" s="71">
        <v>34</v>
      </c>
      <c r="G24" s="71">
        <v>102</v>
      </c>
      <c r="H24" s="71">
        <v>114</v>
      </c>
      <c r="I24" s="71">
        <v>222</v>
      </c>
      <c r="J24" s="71">
        <v>0</v>
      </c>
      <c r="K24" s="71">
        <v>108</v>
      </c>
      <c r="L24" s="71">
        <v>264</v>
      </c>
      <c r="M24" s="71">
        <v>75</v>
      </c>
      <c r="N24" s="71">
        <v>560</v>
      </c>
      <c r="O24" s="71">
        <v>35</v>
      </c>
      <c r="P24" s="71">
        <v>252</v>
      </c>
      <c r="Q24" s="71">
        <v>41</v>
      </c>
      <c r="R24" s="71">
        <v>231</v>
      </c>
      <c r="S24" s="71">
        <v>360</v>
      </c>
      <c r="T24" s="40">
        <f>B39</f>
        <v>0</v>
      </c>
      <c r="U24" s="117">
        <v>0</v>
      </c>
    </row>
    <row r="25" spans="1:21" ht="12.75">
      <c r="A25" s="37" t="s">
        <v>151</v>
      </c>
      <c r="B25" s="38"/>
      <c r="C25" s="196">
        <f>E25-'[1]Denmark'!C25</f>
        <v>3</v>
      </c>
      <c r="D25" s="71">
        <f>F25-'[1]Denmark'!D25</f>
        <v>0</v>
      </c>
      <c r="E25" s="39">
        <v>3</v>
      </c>
      <c r="F25" s="71"/>
      <c r="G25" s="71"/>
      <c r="H25" s="71"/>
      <c r="I25" s="71"/>
      <c r="J25" s="71">
        <v>0</v>
      </c>
      <c r="K25" s="71"/>
      <c r="L25" s="71"/>
      <c r="M25" s="71"/>
      <c r="N25" s="71"/>
      <c r="O25" s="71"/>
      <c r="P25" s="71">
        <v>1</v>
      </c>
      <c r="Q25" s="71">
        <v>12</v>
      </c>
      <c r="R25" s="71"/>
      <c r="S25" s="71"/>
      <c r="T25" s="40"/>
      <c r="U25" s="117"/>
    </row>
    <row r="26" spans="1:21" ht="13.5" thickBot="1">
      <c r="A26" s="44" t="s">
        <v>5</v>
      </c>
      <c r="B26" s="45">
        <f>(E26-F26)/F26</f>
        <v>3.6091954022988504</v>
      </c>
      <c r="C26" s="196">
        <f>E26-'[1]Denmark'!C26</f>
        <v>-461</v>
      </c>
      <c r="D26" s="71">
        <f>F26-'[1]Denmark'!D26</f>
        <v>-744</v>
      </c>
      <c r="E26" s="39">
        <v>401</v>
      </c>
      <c r="F26" s="71">
        <v>87</v>
      </c>
      <c r="G26" s="71">
        <v>15</v>
      </c>
      <c r="H26" s="71">
        <v>100</v>
      </c>
      <c r="I26" s="71">
        <v>404</v>
      </c>
      <c r="J26" s="71">
        <v>0</v>
      </c>
      <c r="K26" s="106">
        <v>78</v>
      </c>
      <c r="L26" s="106">
        <v>595</v>
      </c>
      <c r="M26" s="106">
        <v>20</v>
      </c>
      <c r="N26" s="106">
        <v>528</v>
      </c>
      <c r="O26" s="106">
        <v>63</v>
      </c>
      <c r="P26" s="106">
        <v>91</v>
      </c>
      <c r="Q26" s="106">
        <v>99</v>
      </c>
      <c r="R26" s="106">
        <f>28+346</f>
        <v>374</v>
      </c>
      <c r="S26" s="106">
        <v>65</v>
      </c>
      <c r="T26" s="47">
        <v>148</v>
      </c>
      <c r="U26" s="118">
        <v>43</v>
      </c>
    </row>
    <row r="27" spans="1:21" ht="13.5" thickBot="1">
      <c r="A27" s="49" t="s">
        <v>93</v>
      </c>
      <c r="B27" s="50">
        <f>(E27-F27)/F27</f>
        <v>4.355371900826446</v>
      </c>
      <c r="C27" s="197">
        <f>E27-'[1]Denmark'!C27</f>
        <v>-652</v>
      </c>
      <c r="D27" s="102">
        <f>F27-'[1]Denmark'!D27</f>
        <v>-941</v>
      </c>
      <c r="E27" s="51">
        <f>SUM(E24:E26)</f>
        <v>648</v>
      </c>
      <c r="F27" s="102">
        <f>SUM(F24:F26)</f>
        <v>121</v>
      </c>
      <c r="G27" s="102">
        <f>SUM(G24:G26)</f>
        <v>117</v>
      </c>
      <c r="H27" s="102">
        <f>SUM(H24:H26)</f>
        <v>214</v>
      </c>
      <c r="I27" s="102">
        <v>626</v>
      </c>
      <c r="J27" s="102">
        <v>0</v>
      </c>
      <c r="K27" s="102">
        <f>SUM(K24:K26)</f>
        <v>186</v>
      </c>
      <c r="L27" s="102">
        <f>SUM(L24:L26)</f>
        <v>859</v>
      </c>
      <c r="M27" s="102">
        <f>SUM(M24:M26)</f>
        <v>95</v>
      </c>
      <c r="N27" s="102">
        <f>SUM(N24:N26)</f>
        <v>1088</v>
      </c>
      <c r="O27" s="102">
        <f>SUM(O24:O26)</f>
        <v>98</v>
      </c>
      <c r="P27" s="102">
        <f aca="true" t="shared" si="2" ref="P27:U27">SUM(P24:P26)</f>
        <v>344</v>
      </c>
      <c r="Q27" s="102">
        <f t="shared" si="2"/>
        <v>152</v>
      </c>
      <c r="R27" s="102">
        <f t="shared" si="2"/>
        <v>605</v>
      </c>
      <c r="S27" s="102">
        <f t="shared" si="2"/>
        <v>425</v>
      </c>
      <c r="T27" s="52">
        <f t="shared" si="2"/>
        <v>148</v>
      </c>
      <c r="U27" s="53">
        <f t="shared" si="2"/>
        <v>43</v>
      </c>
    </row>
    <row r="29" ht="12.75">
      <c r="A29" s="36"/>
    </row>
  </sheetData>
  <sheetProtection/>
  <printOptions/>
  <pageMargins left="0.75" right="0.75" top="1" bottom="1" header="0.5" footer="0.5"/>
  <pageSetup fitToHeight="3" fitToWidth="1"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4.7109375" style="33" customWidth="1"/>
    <col min="2" max="2" width="10.7109375" style="33" customWidth="1"/>
    <col min="3" max="4" width="11.421875" style="33" bestFit="1" customWidth="1"/>
    <col min="5" max="5" width="11.421875" style="33" customWidth="1"/>
    <col min="6" max="8" width="11.421875" style="84" customWidth="1"/>
    <col min="9" max="10" width="10.7109375" style="84" customWidth="1"/>
    <col min="11" max="18" width="10.140625" style="33" bestFit="1" customWidth="1"/>
    <col min="19" max="19" width="10.140625" style="59" bestFit="1" customWidth="1"/>
    <col min="20" max="20" width="10.7109375" style="33" customWidth="1"/>
    <col min="21" max="16384" width="9.140625" style="33" customWidth="1"/>
  </cols>
  <sheetData>
    <row r="1" spans="1:19" ht="13.5" thickBot="1">
      <c r="A1" s="34" t="s">
        <v>23</v>
      </c>
      <c r="B1" s="17" t="s">
        <v>182</v>
      </c>
      <c r="C1" s="174" t="s">
        <v>183</v>
      </c>
      <c r="D1" s="55" t="s">
        <v>177</v>
      </c>
      <c r="E1" s="31">
        <v>44896</v>
      </c>
      <c r="F1" s="18">
        <v>44531</v>
      </c>
      <c r="G1" s="18">
        <v>44166</v>
      </c>
      <c r="H1" s="18">
        <v>43800</v>
      </c>
      <c r="I1" s="18">
        <v>43435</v>
      </c>
      <c r="J1" s="18">
        <v>43070</v>
      </c>
      <c r="K1" s="18">
        <v>42705</v>
      </c>
      <c r="L1" s="57">
        <v>42339</v>
      </c>
      <c r="M1" s="57">
        <v>41974</v>
      </c>
      <c r="N1" s="57">
        <v>41609</v>
      </c>
      <c r="O1" s="57">
        <v>41244</v>
      </c>
      <c r="P1" s="57">
        <v>40878</v>
      </c>
      <c r="Q1" s="57">
        <v>40513</v>
      </c>
      <c r="R1" s="57">
        <v>40148</v>
      </c>
      <c r="S1" s="58">
        <v>39783</v>
      </c>
    </row>
    <row r="2" spans="1:19" ht="12.75">
      <c r="A2" s="37" t="s">
        <v>111</v>
      </c>
      <c r="B2" s="119">
        <f>(E2-F2)/F2</f>
        <v>0.2756639229694052</v>
      </c>
      <c r="C2" s="201">
        <f>E2-'[1]France'!C2</f>
        <v>-896</v>
      </c>
      <c r="D2" s="133">
        <f>F2-'[1]France'!D2</f>
        <v>-898</v>
      </c>
      <c r="E2" s="120">
        <v>8214</v>
      </c>
      <c r="F2" s="133">
        <v>6439</v>
      </c>
      <c r="G2" s="133">
        <v>9162</v>
      </c>
      <c r="H2" s="133">
        <v>7782</v>
      </c>
      <c r="I2" s="133">
        <v>9401</v>
      </c>
      <c r="J2" s="133">
        <v>10427</v>
      </c>
      <c r="K2" s="133">
        <v>12198</v>
      </c>
      <c r="L2" s="133">
        <v>10999</v>
      </c>
      <c r="M2" s="133">
        <v>17454</v>
      </c>
      <c r="N2" s="133">
        <v>19302</v>
      </c>
      <c r="O2" s="133">
        <v>12869</v>
      </c>
      <c r="P2" s="133">
        <v>17276</v>
      </c>
      <c r="Q2" s="133">
        <v>20048</v>
      </c>
      <c r="R2" s="133">
        <v>15017</v>
      </c>
      <c r="S2" s="130">
        <v>7352</v>
      </c>
    </row>
    <row r="3" spans="1:19" ht="12.75">
      <c r="A3" s="37" t="s">
        <v>112</v>
      </c>
      <c r="B3" s="119">
        <f>(E3-F3)/F3</f>
        <v>-0.1806416270072243</v>
      </c>
      <c r="C3" s="201">
        <f>E3-'[1]France'!C3</f>
        <v>-5035</v>
      </c>
      <c r="D3" s="133">
        <f>F3-'[1]France'!D3</f>
        <v>-3679</v>
      </c>
      <c r="E3" s="120">
        <v>23931</v>
      </c>
      <c r="F3" s="133">
        <v>29207</v>
      </c>
      <c r="G3" s="133">
        <v>25895</v>
      </c>
      <c r="H3" s="133">
        <v>28012</v>
      </c>
      <c r="I3" s="133">
        <v>26643</v>
      </c>
      <c r="J3" s="133">
        <v>22342</v>
      </c>
      <c r="K3" s="133">
        <v>21754</v>
      </c>
      <c r="L3" s="133">
        <v>23920</v>
      </c>
      <c r="M3" s="133">
        <v>20767</v>
      </c>
      <c r="N3" s="133">
        <v>22917</v>
      </c>
      <c r="O3" s="133">
        <v>15578</v>
      </c>
      <c r="P3" s="133">
        <v>19886</v>
      </c>
      <c r="Q3" s="133">
        <v>17848</v>
      </c>
      <c r="R3" s="133">
        <v>18252</v>
      </c>
      <c r="S3" s="130">
        <v>14530</v>
      </c>
    </row>
    <row r="4" spans="1:19" ht="12.75">
      <c r="A4" s="37" t="s">
        <v>3</v>
      </c>
      <c r="B4" s="119">
        <f>(E4-F4)/F4</f>
        <v>0.04380475594493116</v>
      </c>
      <c r="C4" s="201">
        <f>E4-'[1]France'!C4</f>
        <v>-842</v>
      </c>
      <c r="D4" s="133">
        <f>F4-'[1]France'!D4</f>
        <v>-319</v>
      </c>
      <c r="E4" s="120">
        <v>4170</v>
      </c>
      <c r="F4" s="133">
        <v>3995</v>
      </c>
      <c r="G4" s="133">
        <v>2605</v>
      </c>
      <c r="H4" s="133">
        <v>2173</v>
      </c>
      <c r="I4" s="133">
        <v>3230</v>
      </c>
      <c r="J4" s="133">
        <v>1552</v>
      </c>
      <c r="K4" s="133">
        <v>4921</v>
      </c>
      <c r="L4" s="71">
        <v>3182</v>
      </c>
      <c r="M4" s="71">
        <v>1894</v>
      </c>
      <c r="N4" s="71">
        <v>3294</v>
      </c>
      <c r="O4" s="71">
        <v>1042</v>
      </c>
      <c r="P4" s="71">
        <v>4793</v>
      </c>
      <c r="Q4" s="71">
        <v>4289</v>
      </c>
      <c r="R4" s="71">
        <v>7001</v>
      </c>
      <c r="S4" s="72">
        <v>5188</v>
      </c>
    </row>
    <row r="5" spans="1:19" ht="12.75">
      <c r="A5" s="37" t="s">
        <v>10</v>
      </c>
      <c r="B5" s="119">
        <f>(E5-F5)/F5</f>
        <v>-0.1330758087880251</v>
      </c>
      <c r="C5" s="201">
        <f>E5-'[1]France'!C5</f>
        <v>-2807</v>
      </c>
      <c r="D5" s="133">
        <f>F5-'[1]France'!D5</f>
        <v>-4927</v>
      </c>
      <c r="E5" s="120">
        <v>17954</v>
      </c>
      <c r="F5" s="133">
        <v>20710</v>
      </c>
      <c r="G5" s="133">
        <v>21483</v>
      </c>
      <c r="H5" s="133">
        <v>32345</v>
      </c>
      <c r="I5" s="133">
        <v>24874</v>
      </c>
      <c r="J5" s="133">
        <v>26644</v>
      </c>
      <c r="K5" s="133">
        <v>30093</v>
      </c>
      <c r="L5" s="71">
        <v>34708</v>
      </c>
      <c r="M5" s="71">
        <v>27964</v>
      </c>
      <c r="N5" s="71">
        <v>40523</v>
      </c>
      <c r="O5" s="71">
        <v>20678</v>
      </c>
      <c r="P5" s="71">
        <v>51118</v>
      </c>
      <c r="Q5" s="71">
        <v>48398</v>
      </c>
      <c r="R5" s="71">
        <v>60624</v>
      </c>
      <c r="S5" s="72">
        <v>44051</v>
      </c>
    </row>
    <row r="6" spans="1:19" ht="12.75">
      <c r="A6" s="37" t="s">
        <v>28</v>
      </c>
      <c r="B6" s="119"/>
      <c r="C6" s="201">
        <f>E6-'[1]France'!C6</f>
        <v>0</v>
      </c>
      <c r="D6" s="133">
        <f>F6-'[1]France'!D6</f>
        <v>0</v>
      </c>
      <c r="E6" s="120"/>
      <c r="F6" s="133"/>
      <c r="G6" s="133"/>
      <c r="H6" s="133"/>
      <c r="I6" s="133"/>
      <c r="J6" s="133"/>
      <c r="K6" s="133"/>
      <c r="L6" s="71"/>
      <c r="M6" s="71"/>
      <c r="N6" s="71"/>
      <c r="O6" s="71"/>
      <c r="P6" s="71">
        <v>1953</v>
      </c>
      <c r="Q6" s="71">
        <v>2493</v>
      </c>
      <c r="R6" s="71">
        <v>4359</v>
      </c>
      <c r="S6" s="72">
        <v>3802</v>
      </c>
    </row>
    <row r="7" spans="1:19" ht="12.75">
      <c r="A7" s="37" t="s">
        <v>143</v>
      </c>
      <c r="B7" s="119">
        <f aca="true" t="shared" si="0" ref="B7:B26">(E7-F7)/F7</f>
        <v>-0.018818706912614124</v>
      </c>
      <c r="C7" s="201">
        <f>E7-'[1]France'!C7</f>
        <v>-817</v>
      </c>
      <c r="D7" s="133">
        <f>F7-'[1]France'!D7</f>
        <v>469</v>
      </c>
      <c r="E7" s="120">
        <v>5266</v>
      </c>
      <c r="F7" s="133">
        <v>5367</v>
      </c>
      <c r="G7" s="133">
        <v>3306</v>
      </c>
      <c r="H7" s="133">
        <v>3854</v>
      </c>
      <c r="I7" s="133">
        <v>4433</v>
      </c>
      <c r="J7" s="133">
        <v>3595</v>
      </c>
      <c r="K7" s="133">
        <v>4048</v>
      </c>
      <c r="L7" s="71">
        <v>3798</v>
      </c>
      <c r="M7" s="71">
        <v>2379</v>
      </c>
      <c r="N7" s="71">
        <v>1282</v>
      </c>
      <c r="O7" s="71">
        <v>1324</v>
      </c>
      <c r="P7" s="71">
        <v>2445</v>
      </c>
      <c r="Q7" s="71">
        <v>1705</v>
      </c>
      <c r="R7" s="71"/>
      <c r="S7" s="72"/>
    </row>
    <row r="8" spans="1:19" ht="12.75">
      <c r="A8" s="37" t="s">
        <v>60</v>
      </c>
      <c r="B8" s="119">
        <f t="shared" si="0"/>
        <v>0.31868524146011057</v>
      </c>
      <c r="C8" s="201">
        <f>E8-'[1]France'!C8</f>
        <v>-9356</v>
      </c>
      <c r="D8" s="133">
        <f>F8-'[1]France'!D8</f>
        <v>44450</v>
      </c>
      <c r="E8" s="120">
        <v>144069</v>
      </c>
      <c r="F8" s="133">
        <v>109252</v>
      </c>
      <c r="G8" s="133">
        <v>124759</v>
      </c>
      <c r="H8" s="133">
        <v>131237</v>
      </c>
      <c r="I8" s="133">
        <v>114353</v>
      </c>
      <c r="J8" s="133">
        <v>93225</v>
      </c>
      <c r="K8" s="133">
        <v>90213</v>
      </c>
      <c r="L8" s="71">
        <v>96768</v>
      </c>
      <c r="M8" s="71">
        <v>88404</v>
      </c>
      <c r="N8" s="71">
        <v>76196</v>
      </c>
      <c r="O8" s="71">
        <v>61681</v>
      </c>
      <c r="P8" s="71">
        <v>66832</v>
      </c>
      <c r="Q8" s="71">
        <v>58557</v>
      </c>
      <c r="R8" s="71">
        <v>49162</v>
      </c>
      <c r="S8" s="72">
        <v>31289</v>
      </c>
    </row>
    <row r="9" spans="1:19" ht="12.75">
      <c r="A9" s="37" t="s">
        <v>1</v>
      </c>
      <c r="B9" s="119">
        <f t="shared" si="0"/>
        <v>-0.2920353982300885</v>
      </c>
      <c r="C9" s="201">
        <f>E9-'[1]France'!C9</f>
        <v>-3065</v>
      </c>
      <c r="D9" s="133">
        <f>F9-'[1]France'!D9</f>
        <v>-1166</v>
      </c>
      <c r="E9" s="120">
        <v>2160</v>
      </c>
      <c r="F9" s="133">
        <v>3051</v>
      </c>
      <c r="G9" s="133">
        <v>990</v>
      </c>
      <c r="H9" s="133">
        <v>2810</v>
      </c>
      <c r="I9" s="133">
        <v>3011</v>
      </c>
      <c r="J9" s="133">
        <v>2267</v>
      </c>
      <c r="K9" s="133">
        <v>2215</v>
      </c>
      <c r="L9" s="71">
        <v>1498</v>
      </c>
      <c r="M9" s="71">
        <v>1147</v>
      </c>
      <c r="N9" s="71">
        <v>1213</v>
      </c>
      <c r="O9" s="71">
        <v>803</v>
      </c>
      <c r="P9" s="71">
        <v>1577</v>
      </c>
      <c r="Q9" s="71">
        <v>1097</v>
      </c>
      <c r="R9" s="71">
        <v>2509</v>
      </c>
      <c r="S9" s="72">
        <v>1017</v>
      </c>
    </row>
    <row r="10" spans="1:19" ht="12.75">
      <c r="A10" s="37" t="s">
        <v>11</v>
      </c>
      <c r="B10" s="119">
        <f t="shared" si="0"/>
        <v>-0.3711149895952205</v>
      </c>
      <c r="C10" s="201">
        <f>E10-'[1]France'!C10</f>
        <v>-7576</v>
      </c>
      <c r="D10" s="133">
        <f>F10-'[1]France'!D10</f>
        <v>-5382</v>
      </c>
      <c r="E10" s="120">
        <v>18737</v>
      </c>
      <c r="F10" s="133">
        <v>29794</v>
      </c>
      <c r="G10" s="133">
        <v>23689</v>
      </c>
      <c r="H10" s="133">
        <v>33435</v>
      </c>
      <c r="I10" s="133">
        <v>16479</v>
      </c>
      <c r="J10" s="133">
        <v>24125</v>
      </c>
      <c r="K10" s="133">
        <v>20606</v>
      </c>
      <c r="L10" s="71">
        <v>23595</v>
      </c>
      <c r="M10" s="71">
        <v>16581</v>
      </c>
      <c r="N10" s="71">
        <v>27178</v>
      </c>
      <c r="O10" s="71">
        <v>15652</v>
      </c>
      <c r="P10" s="71">
        <v>20879</v>
      </c>
      <c r="Q10" s="71">
        <v>23496</v>
      </c>
      <c r="R10" s="71">
        <v>23214</v>
      </c>
      <c r="S10" s="72">
        <v>19132</v>
      </c>
    </row>
    <row r="11" spans="1:19" ht="12.75">
      <c r="A11" s="37" t="s">
        <v>8</v>
      </c>
      <c r="B11" s="119">
        <f t="shared" si="0"/>
        <v>-0.28238274227815</v>
      </c>
      <c r="C11" s="201">
        <f>E11-'[1]France'!C11</f>
        <v>-32647</v>
      </c>
      <c r="D11" s="133">
        <f>F11-'[1]France'!D11</f>
        <v>-26385</v>
      </c>
      <c r="E11" s="120">
        <v>87822</v>
      </c>
      <c r="F11" s="133">
        <v>122380</v>
      </c>
      <c r="G11" s="133">
        <v>117781</v>
      </c>
      <c r="H11" s="133">
        <v>127352</v>
      </c>
      <c r="I11" s="133">
        <v>106225</v>
      </c>
      <c r="J11" s="133">
        <v>91844</v>
      </c>
      <c r="K11" s="133">
        <v>82707</v>
      </c>
      <c r="L11" s="71">
        <v>76900</v>
      </c>
      <c r="M11" s="71">
        <v>66640</v>
      </c>
      <c r="N11" s="71">
        <v>68883</v>
      </c>
      <c r="O11" s="71">
        <v>51509</v>
      </c>
      <c r="P11" s="71">
        <v>69218</v>
      </c>
      <c r="Q11" s="71">
        <v>76262</v>
      </c>
      <c r="R11" s="71">
        <v>70940</v>
      </c>
      <c r="S11" s="72">
        <v>63876</v>
      </c>
    </row>
    <row r="12" spans="1:21" ht="12.75">
      <c r="A12" s="37" t="s">
        <v>2</v>
      </c>
      <c r="B12" s="119">
        <f t="shared" si="0"/>
        <v>-0.13809399769285155</v>
      </c>
      <c r="C12" s="201">
        <f>E12-'[1]France'!C12</f>
        <v>-13329</v>
      </c>
      <c r="D12" s="133">
        <f>F12-'[1]France'!D12</f>
        <v>-13201</v>
      </c>
      <c r="E12" s="120">
        <v>138972</v>
      </c>
      <c r="F12" s="133">
        <v>161238</v>
      </c>
      <c r="G12" s="133">
        <v>133850</v>
      </c>
      <c r="H12" s="133">
        <v>210654</v>
      </c>
      <c r="I12" s="133">
        <v>184948</v>
      </c>
      <c r="J12" s="133">
        <v>188015</v>
      </c>
      <c r="K12" s="133">
        <v>207531</v>
      </c>
      <c r="L12" s="71">
        <v>217415</v>
      </c>
      <c r="M12" s="71">
        <v>205989</v>
      </c>
      <c r="N12" s="71">
        <v>241241</v>
      </c>
      <c r="O12" s="71">
        <v>128164</v>
      </c>
      <c r="P12" s="71">
        <v>227932</v>
      </c>
      <c r="Q12" s="71">
        <v>229225</v>
      </c>
      <c r="R12" s="71">
        <v>250176</v>
      </c>
      <c r="S12" s="72">
        <v>175643</v>
      </c>
      <c r="U12" s="85"/>
    </row>
    <row r="13" spans="1:21" ht="12.75">
      <c r="A13" s="37" t="s">
        <v>113</v>
      </c>
      <c r="B13" s="119">
        <f t="shared" si="0"/>
        <v>-0.1838961038961039</v>
      </c>
      <c r="C13" s="201">
        <f>E13-'[1]France'!C13</f>
        <v>-10</v>
      </c>
      <c r="D13" s="133">
        <f>F13-'[1]France'!D13</f>
        <v>-161</v>
      </c>
      <c r="E13" s="120">
        <v>3142</v>
      </c>
      <c r="F13" s="133">
        <v>3850</v>
      </c>
      <c r="G13" s="133">
        <v>2846</v>
      </c>
      <c r="H13" s="133">
        <v>3221</v>
      </c>
      <c r="I13" s="133">
        <v>2528</v>
      </c>
      <c r="J13" s="133">
        <v>2500</v>
      </c>
      <c r="K13" s="133">
        <v>2145</v>
      </c>
      <c r="L13" s="71">
        <v>1939</v>
      </c>
      <c r="M13" s="71">
        <v>1910</v>
      </c>
      <c r="N13" s="71">
        <v>3137</v>
      </c>
      <c r="O13" s="71">
        <v>1887</v>
      </c>
      <c r="P13" s="71">
        <v>3338</v>
      </c>
      <c r="Q13" s="71">
        <v>3412</v>
      </c>
      <c r="R13" s="71">
        <v>1697</v>
      </c>
      <c r="S13" s="72">
        <v>480</v>
      </c>
      <c r="U13" s="85"/>
    </row>
    <row r="14" spans="1:21" ht="12.75">
      <c r="A14" s="37" t="s">
        <v>16</v>
      </c>
      <c r="B14" s="119">
        <f t="shared" si="0"/>
        <v>-0.07556096616218909</v>
      </c>
      <c r="C14" s="201">
        <f>E14-'[1]France'!C14</f>
        <v>-9279</v>
      </c>
      <c r="D14" s="133">
        <f>F14-'[1]France'!D14</f>
        <v>-1778</v>
      </c>
      <c r="E14" s="120">
        <v>66824</v>
      </c>
      <c r="F14" s="133">
        <v>72286</v>
      </c>
      <c r="G14" s="133">
        <v>73525</v>
      </c>
      <c r="H14" s="133">
        <v>77198</v>
      </c>
      <c r="I14" s="133">
        <v>67881</v>
      </c>
      <c r="J14" s="133">
        <v>79486</v>
      </c>
      <c r="K14" s="133">
        <v>63210</v>
      </c>
      <c r="L14" s="71">
        <v>86236</v>
      </c>
      <c r="M14" s="71">
        <v>67711</v>
      </c>
      <c r="N14" s="71">
        <v>87364</v>
      </c>
      <c r="O14" s="71">
        <v>56604</v>
      </c>
      <c r="P14" s="71">
        <v>88109</v>
      </c>
      <c r="Q14" s="71">
        <v>77233</v>
      </c>
      <c r="R14" s="71">
        <v>76506</v>
      </c>
      <c r="S14" s="72">
        <v>74493</v>
      </c>
      <c r="U14" s="85"/>
    </row>
    <row r="15" spans="1:19" ht="12.75">
      <c r="A15" s="37" t="s">
        <v>114</v>
      </c>
      <c r="B15" s="119">
        <f t="shared" si="0"/>
        <v>-0.1495309209266705</v>
      </c>
      <c r="C15" s="201">
        <f>E15-'[1]France'!C15</f>
        <v>-2246</v>
      </c>
      <c r="D15" s="133">
        <f>F15-'[1]France'!D15</f>
        <v>-2030</v>
      </c>
      <c r="E15" s="120">
        <v>8884</v>
      </c>
      <c r="F15" s="133">
        <v>10446</v>
      </c>
      <c r="G15" s="133">
        <v>3214</v>
      </c>
      <c r="H15" s="133">
        <v>8612</v>
      </c>
      <c r="I15" s="133">
        <v>6659</v>
      </c>
      <c r="J15" s="133">
        <v>5996</v>
      </c>
      <c r="K15" s="133">
        <v>6744</v>
      </c>
      <c r="L15" s="71">
        <v>5888</v>
      </c>
      <c r="M15" s="71">
        <v>9241</v>
      </c>
      <c r="N15" s="71">
        <v>8798</v>
      </c>
      <c r="O15" s="71">
        <v>4578</v>
      </c>
      <c r="P15" s="71">
        <v>2407</v>
      </c>
      <c r="Q15" s="71">
        <v>5350</v>
      </c>
      <c r="R15" s="71">
        <v>666</v>
      </c>
      <c r="S15" s="72">
        <v>6452</v>
      </c>
    </row>
    <row r="16" spans="1:22" s="59" customFormat="1" ht="12.75">
      <c r="A16" s="37" t="s">
        <v>9</v>
      </c>
      <c r="B16" s="119">
        <f t="shared" si="0"/>
        <v>2.1315345699831365</v>
      </c>
      <c r="C16" s="201">
        <f>E16-'[1]France'!C16</f>
        <v>-85</v>
      </c>
      <c r="D16" s="133">
        <f>F16-'[1]France'!D16</f>
        <v>-704</v>
      </c>
      <c r="E16" s="120">
        <v>1857</v>
      </c>
      <c r="F16" s="133">
        <v>593</v>
      </c>
      <c r="G16" s="133">
        <v>1244</v>
      </c>
      <c r="H16" s="133">
        <v>1539</v>
      </c>
      <c r="I16" s="133">
        <v>1333</v>
      </c>
      <c r="J16" s="133">
        <v>1158</v>
      </c>
      <c r="K16" s="133">
        <v>1112</v>
      </c>
      <c r="L16" s="71">
        <v>1054</v>
      </c>
      <c r="M16" s="71">
        <v>983</v>
      </c>
      <c r="N16" s="71">
        <v>1966</v>
      </c>
      <c r="O16" s="71">
        <v>991</v>
      </c>
      <c r="P16" s="71">
        <v>1868</v>
      </c>
      <c r="Q16" s="71">
        <v>1523</v>
      </c>
      <c r="R16" s="71">
        <v>2181</v>
      </c>
      <c r="S16" s="72">
        <v>1894</v>
      </c>
      <c r="T16" s="85"/>
      <c r="V16" s="33"/>
    </row>
    <row r="17" spans="1:20" ht="12.75">
      <c r="A17" s="37" t="s">
        <v>115</v>
      </c>
      <c r="B17" s="119">
        <f t="shared" si="0"/>
        <v>-0.12877393852654537</v>
      </c>
      <c r="C17" s="201">
        <f>E17-'[1]France'!C17</f>
        <v>-2445</v>
      </c>
      <c r="D17" s="133">
        <f>F17-'[1]France'!D17</f>
        <v>-2276</v>
      </c>
      <c r="E17" s="120">
        <v>25567</v>
      </c>
      <c r="F17" s="133">
        <v>29346</v>
      </c>
      <c r="G17" s="133">
        <v>22552</v>
      </c>
      <c r="H17" s="133">
        <v>22929</v>
      </c>
      <c r="I17" s="133">
        <v>17619</v>
      </c>
      <c r="J17" s="133">
        <v>15173</v>
      </c>
      <c r="K17" s="133">
        <v>9449</v>
      </c>
      <c r="L17" s="71">
        <v>13064</v>
      </c>
      <c r="M17" s="71">
        <v>10002</v>
      </c>
      <c r="N17" s="71">
        <v>9837</v>
      </c>
      <c r="O17" s="71">
        <v>6611</v>
      </c>
      <c r="P17" s="71">
        <v>9634</v>
      </c>
      <c r="Q17" s="71">
        <v>8438</v>
      </c>
      <c r="R17" s="71">
        <v>7865</v>
      </c>
      <c r="S17" s="72">
        <v>4873</v>
      </c>
      <c r="T17" s="85"/>
    </row>
    <row r="18" spans="1:20" ht="12.75">
      <c r="A18" s="37" t="s">
        <v>26</v>
      </c>
      <c r="B18" s="119">
        <f t="shared" si="0"/>
        <v>-0.20422212023864159</v>
      </c>
      <c r="C18" s="201">
        <f>E18-'[1]France'!C18</f>
        <v>-2413</v>
      </c>
      <c r="D18" s="133">
        <f>F18-'[1]France'!D18</f>
        <v>-2010</v>
      </c>
      <c r="E18" s="120">
        <v>13872</v>
      </c>
      <c r="F18" s="133">
        <v>17432</v>
      </c>
      <c r="G18" s="133">
        <v>12018</v>
      </c>
      <c r="H18" s="133">
        <v>13704</v>
      </c>
      <c r="I18" s="133">
        <v>13208</v>
      </c>
      <c r="J18" s="133">
        <v>10721</v>
      </c>
      <c r="K18" s="133">
        <v>9979</v>
      </c>
      <c r="L18" s="71">
        <v>9043</v>
      </c>
      <c r="M18" s="71">
        <v>4612</v>
      </c>
      <c r="N18" s="71">
        <v>6625</v>
      </c>
      <c r="O18" s="71">
        <v>2663</v>
      </c>
      <c r="P18" s="71">
        <v>6311</v>
      </c>
      <c r="Q18" s="71">
        <v>7244</v>
      </c>
      <c r="R18" s="71">
        <v>10464</v>
      </c>
      <c r="S18" s="72">
        <v>8322</v>
      </c>
      <c r="T18" s="85"/>
    </row>
    <row r="19" spans="1:20" ht="12.75">
      <c r="A19" s="37" t="s">
        <v>117</v>
      </c>
      <c r="B19" s="119">
        <f t="shared" si="0"/>
        <v>1.9763313609467457</v>
      </c>
      <c r="C19" s="201">
        <f>E19-'[1]France'!C19</f>
        <v>-18008</v>
      </c>
      <c r="D19" s="133">
        <f>F19-'[1]France'!D19</f>
        <v>-19307</v>
      </c>
      <c r="E19" s="120">
        <v>503</v>
      </c>
      <c r="F19" s="133">
        <v>169</v>
      </c>
      <c r="G19" s="133">
        <v>609</v>
      </c>
      <c r="H19" s="133">
        <v>1251</v>
      </c>
      <c r="I19" s="133">
        <v>554</v>
      </c>
      <c r="J19" s="133">
        <v>267</v>
      </c>
      <c r="K19" s="133">
        <v>663</v>
      </c>
      <c r="L19" s="71">
        <v>796</v>
      </c>
      <c r="M19" s="71">
        <v>341</v>
      </c>
      <c r="N19" s="71">
        <v>609</v>
      </c>
      <c r="O19" s="71">
        <v>281</v>
      </c>
      <c r="P19" s="71">
        <v>1326</v>
      </c>
      <c r="Q19" s="71">
        <v>396</v>
      </c>
      <c r="R19" s="71">
        <v>1761</v>
      </c>
      <c r="S19" s="72">
        <v>630</v>
      </c>
      <c r="T19" s="59"/>
    </row>
    <row r="20" spans="1:19" ht="12.75">
      <c r="A20" s="37" t="s">
        <v>87</v>
      </c>
      <c r="B20" s="119">
        <f t="shared" si="0"/>
        <v>-0.07816306432384802</v>
      </c>
      <c r="C20" s="201">
        <f>E20-'[1]France'!C20</f>
        <v>15646</v>
      </c>
      <c r="D20" s="133">
        <f>F20-'[1]France'!D20</f>
        <v>17650</v>
      </c>
      <c r="E20" s="120">
        <v>17785</v>
      </c>
      <c r="F20" s="133">
        <v>19293</v>
      </c>
      <c r="G20" s="133">
        <v>16162</v>
      </c>
      <c r="H20" s="133">
        <v>17116</v>
      </c>
      <c r="I20" s="133">
        <v>15547</v>
      </c>
      <c r="J20" s="133">
        <v>15163</v>
      </c>
      <c r="K20" s="133">
        <v>14055</v>
      </c>
      <c r="L20" s="71">
        <v>14014</v>
      </c>
      <c r="M20" s="71">
        <v>12315</v>
      </c>
      <c r="N20" s="71">
        <v>16966</v>
      </c>
      <c r="O20" s="71">
        <v>5128</v>
      </c>
      <c r="P20" s="71">
        <v>16425</v>
      </c>
      <c r="Q20" s="71">
        <v>14157</v>
      </c>
      <c r="R20" s="71">
        <v>14410</v>
      </c>
      <c r="S20" s="72">
        <v>13700</v>
      </c>
    </row>
    <row r="21" spans="1:19" ht="12.75">
      <c r="A21" s="37" t="s">
        <v>116</v>
      </c>
      <c r="B21" s="119">
        <f t="shared" si="0"/>
        <v>-0.15206170275882527</v>
      </c>
      <c r="C21" s="201">
        <f>E21-'[1]France'!C21</f>
        <v>-6671</v>
      </c>
      <c r="D21" s="133">
        <f>F21-'[1]France'!D21</f>
        <v>-6551</v>
      </c>
      <c r="E21" s="120">
        <v>14292</v>
      </c>
      <c r="F21" s="133">
        <v>16855</v>
      </c>
      <c r="G21" s="133">
        <v>18295</v>
      </c>
      <c r="H21" s="133">
        <v>27553</v>
      </c>
      <c r="I21" s="133">
        <v>18478</v>
      </c>
      <c r="J21" s="133">
        <v>20350</v>
      </c>
      <c r="K21" s="133">
        <v>17496</v>
      </c>
      <c r="L21" s="71">
        <v>17830</v>
      </c>
      <c r="M21" s="71">
        <v>15068</v>
      </c>
      <c r="N21" s="71">
        <v>22006</v>
      </c>
      <c r="O21" s="71">
        <v>10028</v>
      </c>
      <c r="P21" s="71">
        <v>19562</v>
      </c>
      <c r="Q21" s="71">
        <v>19536</v>
      </c>
      <c r="R21" s="71">
        <v>23231</v>
      </c>
      <c r="S21" s="72">
        <v>16164</v>
      </c>
    </row>
    <row r="22" spans="1:19" ht="12.75">
      <c r="A22" s="37" t="s">
        <v>102</v>
      </c>
      <c r="B22" s="119">
        <f t="shared" si="0"/>
        <v>1.5309523809523808</v>
      </c>
      <c r="C22" s="201">
        <f>E22-'[1]France'!C22</f>
        <v>-591</v>
      </c>
      <c r="D22" s="133">
        <f>F22-'[1]France'!D22</f>
        <v>-1167</v>
      </c>
      <c r="E22" s="120">
        <v>1063</v>
      </c>
      <c r="F22" s="133">
        <v>420</v>
      </c>
      <c r="G22" s="133">
        <v>982</v>
      </c>
      <c r="H22" s="133">
        <v>1610</v>
      </c>
      <c r="I22" s="133">
        <v>1476</v>
      </c>
      <c r="J22" s="133">
        <v>838</v>
      </c>
      <c r="K22" s="133">
        <v>998</v>
      </c>
      <c r="L22" s="71">
        <v>1654</v>
      </c>
      <c r="M22" s="71">
        <v>1112</v>
      </c>
      <c r="N22" s="71">
        <v>2016</v>
      </c>
      <c r="O22" s="71">
        <v>952</v>
      </c>
      <c r="P22" s="71">
        <v>1845</v>
      </c>
      <c r="Q22" s="71">
        <v>1371</v>
      </c>
      <c r="R22" s="71">
        <v>2650</v>
      </c>
      <c r="S22" s="72">
        <v>616</v>
      </c>
    </row>
    <row r="23" spans="1:19" ht="12.75">
      <c r="A23" s="37" t="s">
        <v>118</v>
      </c>
      <c r="B23" s="119">
        <f t="shared" si="0"/>
        <v>0.052417610933310266</v>
      </c>
      <c r="C23" s="201">
        <f>E23-'[1]France'!C23</f>
        <v>-298</v>
      </c>
      <c r="D23" s="133">
        <f>F23-'[1]France'!D23</f>
        <v>33</v>
      </c>
      <c r="E23" s="120">
        <v>12167</v>
      </c>
      <c r="F23" s="133">
        <v>11561</v>
      </c>
      <c r="G23" s="133">
        <v>10456</v>
      </c>
      <c r="H23" s="133">
        <v>10342</v>
      </c>
      <c r="I23" s="133">
        <v>10481</v>
      </c>
      <c r="J23" s="133">
        <v>7937</v>
      </c>
      <c r="K23" s="133">
        <v>5787</v>
      </c>
      <c r="L23" s="71">
        <v>6525</v>
      </c>
      <c r="M23" s="71">
        <v>7881</v>
      </c>
      <c r="N23" s="71">
        <v>6617</v>
      </c>
      <c r="O23" s="71">
        <v>6002</v>
      </c>
      <c r="P23" s="71">
        <v>5791</v>
      </c>
      <c r="Q23" s="71">
        <v>7386</v>
      </c>
      <c r="R23" s="71">
        <v>1769</v>
      </c>
      <c r="S23" s="72">
        <v>2634</v>
      </c>
    </row>
    <row r="24" spans="1:19" ht="12.75">
      <c r="A24" s="37" t="s">
        <v>119</v>
      </c>
      <c r="B24" s="119">
        <f t="shared" si="0"/>
        <v>-0.09221466364323508</v>
      </c>
      <c r="C24" s="201">
        <f>E24-'[1]France'!C24</f>
        <v>-545</v>
      </c>
      <c r="D24" s="133">
        <f>F24-'[1]France'!D24</f>
        <v>-447</v>
      </c>
      <c r="E24" s="120">
        <v>2402</v>
      </c>
      <c r="F24" s="133">
        <v>2646</v>
      </c>
      <c r="G24" s="133">
        <v>2850</v>
      </c>
      <c r="H24" s="133">
        <v>3245</v>
      </c>
      <c r="I24" s="133">
        <v>3872</v>
      </c>
      <c r="J24" s="133">
        <v>3935</v>
      </c>
      <c r="K24" s="133">
        <v>5400</v>
      </c>
      <c r="L24" s="71">
        <v>4702</v>
      </c>
      <c r="M24" s="71">
        <v>4095</v>
      </c>
      <c r="N24" s="71">
        <v>6598</v>
      </c>
      <c r="O24" s="71">
        <v>4456</v>
      </c>
      <c r="P24" s="71">
        <v>3821</v>
      </c>
      <c r="Q24" s="71">
        <v>4595</v>
      </c>
      <c r="R24" s="71">
        <v>4919</v>
      </c>
      <c r="S24" s="72">
        <v>3571</v>
      </c>
    </row>
    <row r="25" spans="1:19" ht="13.5" thickBot="1">
      <c r="A25" s="37" t="s">
        <v>5</v>
      </c>
      <c r="B25" s="119">
        <f t="shared" si="0"/>
        <v>0.08434697137240448</v>
      </c>
      <c r="C25" s="201">
        <f>E25-'[1]France'!C25</f>
        <v>-2453</v>
      </c>
      <c r="D25" s="133">
        <f>F25-'[1]France'!D25</f>
        <v>-7659</v>
      </c>
      <c r="E25" s="120">
        <v>17651</v>
      </c>
      <c r="F25" s="133">
        <v>16278</v>
      </c>
      <c r="G25" s="133">
        <v>22351</v>
      </c>
      <c r="H25" s="133">
        <v>15548</v>
      </c>
      <c r="I25" s="133">
        <v>11851</v>
      </c>
      <c r="J25" s="133">
        <v>7064</v>
      </c>
      <c r="K25" s="133">
        <v>5586</v>
      </c>
      <c r="L25" s="71">
        <v>4372</v>
      </c>
      <c r="M25" s="71">
        <v>4198</v>
      </c>
      <c r="N25" s="71">
        <v>9109</v>
      </c>
      <c r="O25" s="71">
        <v>6984</v>
      </c>
      <c r="P25" s="71">
        <v>4480</v>
      </c>
      <c r="Q25" s="71">
        <v>5032</v>
      </c>
      <c r="R25" s="71">
        <v>10599</v>
      </c>
      <c r="S25" s="72">
        <v>9273</v>
      </c>
    </row>
    <row r="26" spans="1:19" ht="13.5" thickBot="1">
      <c r="A26" s="34" t="s">
        <v>93</v>
      </c>
      <c r="B26" s="217">
        <f t="shared" si="0"/>
        <v>-0.07984891886897061</v>
      </c>
      <c r="C26" s="218">
        <f>E26-'[1]France'!C26</f>
        <v>-105768</v>
      </c>
      <c r="D26" s="186">
        <f>F26-'[1]France'!D26</f>
        <v>-37445</v>
      </c>
      <c r="E26" s="219">
        <f>SUM(E2:E25)</f>
        <v>637304</v>
      </c>
      <c r="F26" s="186">
        <f>SUM(F2:F25)</f>
        <v>692608</v>
      </c>
      <c r="G26" s="186">
        <f>SUM(G2:G25)</f>
        <v>650624</v>
      </c>
      <c r="H26" s="186">
        <f>SUM(H2:H25)</f>
        <v>783522</v>
      </c>
      <c r="I26" s="186">
        <f>SUM(I2:I25)</f>
        <v>665084</v>
      </c>
      <c r="J26" s="186">
        <v>634624</v>
      </c>
      <c r="K26" s="186">
        <f>SUM(K2:K25)</f>
        <v>618910</v>
      </c>
      <c r="L26" s="186">
        <f>SUM(L2:L25)</f>
        <v>659900</v>
      </c>
      <c r="M26" s="186">
        <f>SUM(M2:M25)</f>
        <v>588688</v>
      </c>
      <c r="N26" s="186">
        <f aca="true" t="shared" si="1" ref="N26:S26">SUM(N2:N25)</f>
        <v>683677</v>
      </c>
      <c r="O26" s="186">
        <f t="shared" si="1"/>
        <v>416465</v>
      </c>
      <c r="P26" s="186">
        <f t="shared" si="1"/>
        <v>648826</v>
      </c>
      <c r="Q26" s="186">
        <f t="shared" si="1"/>
        <v>639091</v>
      </c>
      <c r="R26" s="186">
        <f t="shared" si="1"/>
        <v>659972</v>
      </c>
      <c r="S26" s="220">
        <f t="shared" si="1"/>
        <v>508982</v>
      </c>
    </row>
    <row r="27" spans="4:11" ht="12.75">
      <c r="D27" s="84"/>
      <c r="E27" s="84"/>
      <c r="K27" s="84"/>
    </row>
    <row r="28" spans="1:11" ht="13.5" thickBot="1">
      <c r="A28" s="125"/>
      <c r="D28" s="84"/>
      <c r="E28" s="84"/>
      <c r="K28" s="84"/>
    </row>
    <row r="29" spans="1:19" ht="13.5" thickBot="1">
      <c r="A29" s="34" t="s">
        <v>24</v>
      </c>
      <c r="B29" s="17" t="s">
        <v>182</v>
      </c>
      <c r="C29" s="174" t="s">
        <v>183</v>
      </c>
      <c r="D29" s="55" t="s">
        <v>177</v>
      </c>
      <c r="E29" s="31">
        <v>44896</v>
      </c>
      <c r="F29" s="18">
        <v>44531</v>
      </c>
      <c r="G29" s="18">
        <v>44166</v>
      </c>
      <c r="H29" s="18">
        <v>43800</v>
      </c>
      <c r="I29" s="18">
        <v>43435</v>
      </c>
      <c r="J29" s="18">
        <v>43070</v>
      </c>
      <c r="K29" s="18">
        <v>42705</v>
      </c>
      <c r="L29" s="57">
        <f>L1</f>
        <v>42339</v>
      </c>
      <c r="M29" s="57">
        <f>M1</f>
        <v>41974</v>
      </c>
      <c r="N29" s="57">
        <v>41609</v>
      </c>
      <c r="O29" s="57">
        <v>41244</v>
      </c>
      <c r="P29" s="57">
        <v>40878</v>
      </c>
      <c r="Q29" s="57">
        <v>40513</v>
      </c>
      <c r="R29" s="57">
        <v>40148</v>
      </c>
      <c r="S29" s="58">
        <v>39783</v>
      </c>
    </row>
    <row r="30" spans="1:19" ht="12.75">
      <c r="A30" s="37" t="s">
        <v>120</v>
      </c>
      <c r="B30" s="119">
        <f>(E30-F30)/F30</f>
        <v>0.11317386647625848</v>
      </c>
      <c r="C30" s="201">
        <f>E30-'[1]France'!C30</f>
        <v>-742</v>
      </c>
      <c r="D30" s="133">
        <f>F30-'[1]France'!D30</f>
        <v>87</v>
      </c>
      <c r="E30" s="120">
        <v>3118</v>
      </c>
      <c r="F30" s="133">
        <v>2801</v>
      </c>
      <c r="G30" s="133">
        <v>3439</v>
      </c>
      <c r="H30" s="133">
        <v>1818</v>
      </c>
      <c r="I30" s="133">
        <v>2056</v>
      </c>
      <c r="J30" s="133">
        <v>2414</v>
      </c>
      <c r="K30" s="133">
        <v>2653</v>
      </c>
      <c r="L30" s="133">
        <v>2428</v>
      </c>
      <c r="M30" s="133">
        <v>2343</v>
      </c>
      <c r="N30" s="133">
        <v>4036</v>
      </c>
      <c r="O30" s="133">
        <v>1439</v>
      </c>
      <c r="P30" s="133">
        <v>3665</v>
      </c>
      <c r="R30" s="133">
        <v>3017</v>
      </c>
      <c r="S30" s="130">
        <v>1309</v>
      </c>
    </row>
    <row r="31" spans="1:19" ht="12.75">
      <c r="A31" s="37" t="s">
        <v>121</v>
      </c>
      <c r="B31" s="119"/>
      <c r="C31" s="201">
        <f>E31-'[1]France'!C31</f>
        <v>0</v>
      </c>
      <c r="D31" s="133">
        <f>F31-'[1]France'!D31</f>
        <v>0</v>
      </c>
      <c r="E31" s="120"/>
      <c r="F31" s="133"/>
      <c r="G31" s="133"/>
      <c r="H31" s="133"/>
      <c r="I31" s="133"/>
      <c r="J31" s="133"/>
      <c r="K31" s="133"/>
      <c r="L31" s="71"/>
      <c r="M31" s="71"/>
      <c r="N31" s="71"/>
      <c r="O31" s="71"/>
      <c r="P31" s="71"/>
      <c r="Q31" s="133"/>
      <c r="R31" s="133">
        <v>31</v>
      </c>
      <c r="S31" s="130">
        <v>0</v>
      </c>
    </row>
    <row r="32" spans="1:19" ht="12.75">
      <c r="A32" s="37" t="s">
        <v>6</v>
      </c>
      <c r="B32" s="119">
        <f>(E32-F32)/F32</f>
        <v>0.32907098121085593</v>
      </c>
      <c r="C32" s="201">
        <f>E32-'[1]France'!C32</f>
        <v>-2423</v>
      </c>
      <c r="D32" s="133">
        <f>F32-'[1]France'!D32</f>
        <v>-1598</v>
      </c>
      <c r="E32" s="120">
        <v>5093</v>
      </c>
      <c r="F32" s="133">
        <v>3832</v>
      </c>
      <c r="G32" s="133">
        <v>5418</v>
      </c>
      <c r="H32" s="133">
        <v>5812</v>
      </c>
      <c r="I32" s="133">
        <v>5832</v>
      </c>
      <c r="J32" s="133">
        <v>4574</v>
      </c>
      <c r="K32" s="133">
        <v>4429</v>
      </c>
      <c r="L32" s="71">
        <v>3291</v>
      </c>
      <c r="M32" s="71">
        <v>2035</v>
      </c>
      <c r="N32" s="71">
        <v>4430</v>
      </c>
      <c r="O32" s="71">
        <v>2033</v>
      </c>
      <c r="P32" s="71">
        <v>3967</v>
      </c>
      <c r="Q32" s="71"/>
      <c r="R32" s="71">
        <v>4851</v>
      </c>
      <c r="S32" s="72">
        <v>2198</v>
      </c>
    </row>
    <row r="33" spans="1:19" ht="12.75">
      <c r="A33" s="37" t="s">
        <v>94</v>
      </c>
      <c r="B33" s="119">
        <f>(E33-F33)/F33</f>
        <v>0.876311844077961</v>
      </c>
      <c r="C33" s="201">
        <f>E33-'[1]France'!C33</f>
        <v>-272</v>
      </c>
      <c r="D33" s="133">
        <f>F33-'[1]France'!D33</f>
        <v>-826</v>
      </c>
      <c r="E33" s="120">
        <v>2503</v>
      </c>
      <c r="F33" s="133">
        <v>1334</v>
      </c>
      <c r="G33" s="133">
        <v>3114</v>
      </c>
      <c r="H33" s="133">
        <v>1799</v>
      </c>
      <c r="I33" s="133">
        <v>2964</v>
      </c>
      <c r="J33" s="133">
        <v>1976</v>
      </c>
      <c r="K33" s="133">
        <v>2012</v>
      </c>
      <c r="L33" s="71">
        <v>2041</v>
      </c>
      <c r="M33" s="71">
        <v>1662</v>
      </c>
      <c r="N33" s="71">
        <v>1489</v>
      </c>
      <c r="O33" s="71">
        <v>457</v>
      </c>
      <c r="P33" s="71">
        <v>1769</v>
      </c>
      <c r="Q33" s="71"/>
      <c r="R33" s="71">
        <v>2419</v>
      </c>
      <c r="S33" s="72">
        <v>944</v>
      </c>
    </row>
    <row r="34" spans="1:19" ht="12.75">
      <c r="A34" s="37" t="s">
        <v>89</v>
      </c>
      <c r="B34" s="119"/>
      <c r="C34" s="201">
        <f>E34-'[1]France'!C34</f>
        <v>0</v>
      </c>
      <c r="D34" s="133">
        <f>F34-'[1]France'!D34</f>
        <v>-2167</v>
      </c>
      <c r="E34" s="120"/>
      <c r="F34" s="133"/>
      <c r="G34" s="133"/>
      <c r="H34" s="133">
        <v>0</v>
      </c>
      <c r="I34" s="133">
        <v>0</v>
      </c>
      <c r="J34" s="133"/>
      <c r="K34" s="133"/>
      <c r="L34" s="71"/>
      <c r="M34" s="71"/>
      <c r="N34" s="71">
        <v>116</v>
      </c>
      <c r="O34" s="71"/>
      <c r="P34" s="71"/>
      <c r="Q34" s="71"/>
      <c r="R34" s="71"/>
      <c r="S34" s="72"/>
    </row>
    <row r="35" spans="1:19" ht="12.75">
      <c r="A35" s="37" t="s">
        <v>122</v>
      </c>
      <c r="B35" s="119">
        <f>(E35-F35)/F35</f>
        <v>2.016460905349794</v>
      </c>
      <c r="C35" s="201">
        <f>E35-'[1]France'!C35</f>
        <v>-282</v>
      </c>
      <c r="D35" s="133">
        <f>F35-'[1]France'!D35</f>
        <v>115</v>
      </c>
      <c r="E35" s="120">
        <v>733</v>
      </c>
      <c r="F35" s="133">
        <v>243</v>
      </c>
      <c r="G35" s="133">
        <v>1485</v>
      </c>
      <c r="H35" s="133">
        <v>1068</v>
      </c>
      <c r="I35" s="133">
        <v>1215</v>
      </c>
      <c r="J35" s="133">
        <v>879</v>
      </c>
      <c r="K35" s="133">
        <v>1081</v>
      </c>
      <c r="L35" s="71">
        <v>1384</v>
      </c>
      <c r="M35" s="71">
        <v>1234</v>
      </c>
      <c r="N35" s="71">
        <v>895</v>
      </c>
      <c r="O35" s="71">
        <v>1248</v>
      </c>
      <c r="P35" s="71">
        <v>655</v>
      </c>
      <c r="Q35" s="71"/>
      <c r="R35" s="71">
        <v>1025</v>
      </c>
      <c r="S35" s="72">
        <v>836</v>
      </c>
    </row>
    <row r="36" spans="1:19" ht="12.75">
      <c r="A36" s="37" t="s">
        <v>123</v>
      </c>
      <c r="B36" s="119">
        <f>(E36-F36)/F36</f>
        <v>-0.7993630573248408</v>
      </c>
      <c r="C36" s="201">
        <f>E36-'[1]France'!C36</f>
        <v>-1785</v>
      </c>
      <c r="D36" s="133">
        <f>F36-'[1]France'!D36</f>
        <v>-1836</v>
      </c>
      <c r="E36" s="120">
        <v>63</v>
      </c>
      <c r="F36" s="133">
        <v>314</v>
      </c>
      <c r="G36" s="133">
        <v>2002</v>
      </c>
      <c r="H36" s="133">
        <v>3058</v>
      </c>
      <c r="I36" s="133">
        <v>845</v>
      </c>
      <c r="J36" s="133">
        <v>418</v>
      </c>
      <c r="K36" s="133">
        <v>542</v>
      </c>
      <c r="L36" s="71">
        <v>15</v>
      </c>
      <c r="M36" s="71">
        <v>28</v>
      </c>
      <c r="N36" s="71">
        <v>347</v>
      </c>
      <c r="O36" s="71"/>
      <c r="P36" s="71">
        <v>269</v>
      </c>
      <c r="Q36" s="71"/>
      <c r="R36" s="71">
        <v>301</v>
      </c>
      <c r="S36" s="72">
        <v>20</v>
      </c>
    </row>
    <row r="37" spans="1:19" ht="13.5" thickBot="1">
      <c r="A37" s="44" t="s">
        <v>5</v>
      </c>
      <c r="B37" s="121">
        <f>(E37-F37)/F37</f>
        <v>0.5149321266968325</v>
      </c>
      <c r="C37" s="203">
        <f>E37-'[1]France'!C37</f>
        <v>-317</v>
      </c>
      <c r="D37" s="134">
        <f>F37-'[1]France'!D37</f>
        <v>-165</v>
      </c>
      <c r="E37" s="122">
        <v>1674</v>
      </c>
      <c r="F37" s="134">
        <v>1105</v>
      </c>
      <c r="G37" s="134">
        <v>1856</v>
      </c>
      <c r="H37" s="134">
        <v>1011</v>
      </c>
      <c r="I37" s="134">
        <v>753</v>
      </c>
      <c r="J37" s="134">
        <v>1551</v>
      </c>
      <c r="K37" s="134">
        <v>2048</v>
      </c>
      <c r="L37" s="106">
        <v>430</v>
      </c>
      <c r="M37" s="106">
        <v>464</v>
      </c>
      <c r="N37" s="106">
        <v>1032</v>
      </c>
      <c r="O37" s="106">
        <v>547</v>
      </c>
      <c r="P37" s="106">
        <v>546</v>
      </c>
      <c r="Q37" s="106"/>
      <c r="R37" s="106">
        <v>749</v>
      </c>
      <c r="S37" s="101">
        <v>251</v>
      </c>
    </row>
    <row r="38" spans="1:19" ht="13.5" thickBot="1">
      <c r="A38" s="34" t="s">
        <v>93</v>
      </c>
      <c r="B38" s="123">
        <f>(E38-F38)/F38</f>
        <v>0.3691972167410946</v>
      </c>
      <c r="C38" s="202">
        <f>E38-'[1]France'!C38</f>
        <v>-5821</v>
      </c>
      <c r="D38" s="135">
        <f>F38-'[1]France'!D38</f>
        <v>-6390</v>
      </c>
      <c r="E38" s="124">
        <f>SUM(E30:E37)</f>
        <v>13184</v>
      </c>
      <c r="F38" s="135">
        <f>SUM(F30:F37)</f>
        <v>9629</v>
      </c>
      <c r="G38" s="135">
        <f>SUM(G30:G37)</f>
        <v>17314</v>
      </c>
      <c r="H38" s="135">
        <f>SUM(H30:H37)</f>
        <v>14566</v>
      </c>
      <c r="I38" s="135">
        <f>SUM(I30:I37)</f>
        <v>13665</v>
      </c>
      <c r="J38" s="135">
        <v>11812</v>
      </c>
      <c r="K38" s="135">
        <f aca="true" t="shared" si="2" ref="K38:P38">SUM(K30:K37)</f>
        <v>12765</v>
      </c>
      <c r="L38" s="135">
        <f t="shared" si="2"/>
        <v>9589</v>
      </c>
      <c r="M38" s="135">
        <f t="shared" si="2"/>
        <v>7766</v>
      </c>
      <c r="N38" s="135">
        <f t="shared" si="2"/>
        <v>12345</v>
      </c>
      <c r="O38" s="135">
        <f t="shared" si="2"/>
        <v>5724</v>
      </c>
      <c r="P38" s="135">
        <f t="shared" si="2"/>
        <v>10871</v>
      </c>
      <c r="Q38" s="135"/>
      <c r="R38" s="135">
        <f>SUM(R30:R37)</f>
        <v>12393</v>
      </c>
      <c r="S38" s="131">
        <f>SUM(S30:S37)</f>
        <v>5558</v>
      </c>
    </row>
    <row r="43" spans="11:17" ht="12.75">
      <c r="K43" s="84"/>
      <c r="L43" s="84"/>
      <c r="M43" s="84"/>
      <c r="N43" s="84"/>
      <c r="O43" s="84"/>
      <c r="P43" s="84"/>
      <c r="Q43" s="84"/>
    </row>
    <row r="44" spans="11:17" ht="12.75">
      <c r="K44" s="84"/>
      <c r="L44" s="84"/>
      <c r="M44" s="84"/>
      <c r="N44" s="84"/>
      <c r="O44" s="84"/>
      <c r="P44" s="84"/>
      <c r="Q44" s="84"/>
    </row>
    <row r="45" spans="11:17" ht="12.75">
      <c r="K45" s="84"/>
      <c r="L45" s="84"/>
      <c r="M45" s="84"/>
      <c r="N45" s="84"/>
      <c r="O45" s="84"/>
      <c r="P45" s="84"/>
      <c r="Q45" s="84"/>
    </row>
    <row r="46" spans="11:17" ht="12.75">
      <c r="K46" s="84"/>
      <c r="L46" s="84"/>
      <c r="M46" s="84"/>
      <c r="N46" s="84"/>
      <c r="O46" s="84"/>
      <c r="P46" s="84"/>
      <c r="Q46" s="84"/>
    </row>
  </sheetData>
  <sheetProtection/>
  <printOptions/>
  <pageMargins left="0.75" right="0.75" top="1" bottom="1" header="0.5" footer="0.5"/>
  <pageSetup fitToHeight="3" fitToWidth="1" horizontalDpi="600" verticalDpi="600" orientation="landscape" paperSize="9" scale="6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Freshfell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frederic</dc:creator>
  <cp:keywords/>
  <dc:description/>
  <cp:lastModifiedBy>Gil Kaufman</cp:lastModifiedBy>
  <cp:lastPrinted>2018-01-31T16:19:34Z</cp:lastPrinted>
  <dcterms:created xsi:type="dcterms:W3CDTF">2006-12-13T13:34:27Z</dcterms:created>
  <dcterms:modified xsi:type="dcterms:W3CDTF">2023-01-03T10:56:45Z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BUILTIN\Administrators</vt:lpwstr>
  </property>
  <property fmtid="{D5CDD505-2E9C-101B-9397-08002B2CF9AE}" pid="3" name="Order">
    <vt:lpwstr>423400.000000000</vt:lpwstr>
  </property>
  <property fmtid="{D5CDD505-2E9C-101B-9397-08002B2CF9AE}" pid="4" name="display_urn:schemas-microsoft-com:office:office#Author">
    <vt:lpwstr>BUILTIN\Administrators</vt:lpwstr>
  </property>
  <property fmtid="{D5CDD505-2E9C-101B-9397-08002B2CF9AE}" pid="5" name="lcf76f155ced4ddcb4097134ff3c332f">
    <vt:lpwstr/>
  </property>
  <property fmtid="{D5CDD505-2E9C-101B-9397-08002B2CF9AE}" pid="6" name="TaxCatchAll">
    <vt:lpwstr/>
  </property>
</Properties>
</file>