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eshfel365.sharepoint.com/sites/common1/Shared Documents/NEW SYSTEM/WAPA/Stocks/WAPA Stocks/"/>
    </mc:Choice>
  </mc:AlternateContent>
  <xr:revisionPtr revIDLastSave="332" documentId="13_ncr:40009_{C16A1C74-8F76-450F-8051-0D3FB4182F86}" xr6:coauthVersionLast="47" xr6:coauthVersionMax="47" xr10:uidLastSave="{143E838C-DC93-4ABD-9F30-5A448A160355}"/>
  <bookViews>
    <workbookView xWindow="-108" yWindow="-108" windowWidth="23256" windowHeight="12456" tabRatio="735" activeTab="2" xr2:uid="{00000000-000D-0000-FFFF-FFFF00000000}"/>
  </bookViews>
  <sheets>
    <sheet name="Intro" sheetId="22" r:id="rId1"/>
    <sheet name="US" sheetId="9" r:id="rId2"/>
    <sheet name="Europe - country" sheetId="1" r:id="rId3"/>
    <sheet name="Europe - variety" sheetId="2" r:id="rId4"/>
    <sheet name="Austria" sheetId="25" r:id="rId5"/>
    <sheet name="Belgium" sheetId="26" r:id="rId6"/>
    <sheet name="Czech Republic" sheetId="27" r:id="rId7"/>
    <sheet name="Denmark" sheetId="28" r:id="rId8"/>
    <sheet name="France" sheetId="35" r:id="rId9"/>
    <sheet name="Germany" sheetId="29" r:id="rId10"/>
    <sheet name="Italy" sheetId="31" r:id="rId11"/>
    <sheet name="Poland" sheetId="36" r:id="rId12"/>
    <sheet name="Portugal" sheetId="38" r:id="rId13"/>
    <sheet name="Spain" sheetId="33" r:id="rId14"/>
    <sheet name="Switzerland" sheetId="34" r:id="rId15"/>
    <sheet name="Netherlands" sheetId="32" r:id="rId16"/>
    <sheet name="UK" sheetId="30" r:id="rId17"/>
  </sheets>
  <externalReferences>
    <externalReference r:id="rId18"/>
    <externalReference r:id="rId19"/>
  </externalReferences>
  <definedNames>
    <definedName name="_xlnm.Print_Area" localSheetId="2">'Europe - country'!$A$1:$Y$33</definedName>
    <definedName name="_xlnm.Print_Area" localSheetId="3">'Europe - variety'!$A$1:$S$44</definedName>
    <definedName name="_xlnm.Print_Area" localSheetId="1">US!$A$1:$W$41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5" l="1"/>
  <c r="B44" i="2"/>
  <c r="B43" i="2"/>
  <c r="B42" i="2"/>
  <c r="B41" i="2"/>
  <c r="B40" i="2"/>
  <c r="B39" i="2"/>
  <c r="B38" i="2"/>
  <c r="B37" i="2"/>
  <c r="B36" i="2"/>
  <c r="B32" i="2"/>
  <c r="B31" i="2"/>
  <c r="B30" i="2"/>
  <c r="B27" i="2"/>
  <c r="B26" i="2"/>
  <c r="B25" i="2"/>
  <c r="B24" i="2"/>
  <c r="B23" i="2"/>
  <c r="B22" i="2"/>
  <c r="B19" i="2"/>
  <c r="B18" i="2"/>
  <c r="B17" i="2"/>
  <c r="B16" i="2"/>
  <c r="B15" i="2"/>
  <c r="B14" i="2"/>
  <c r="B13" i="2"/>
  <c r="B12" i="2"/>
  <c r="B11" i="2"/>
  <c r="B10" i="2"/>
  <c r="B9" i="2"/>
  <c r="B8" i="2"/>
  <c r="B6" i="2"/>
  <c r="B5" i="2"/>
  <c r="B4" i="2"/>
  <c r="B3" i="2"/>
  <c r="B2" i="1"/>
  <c r="C44" i="2"/>
  <c r="C43" i="2"/>
  <c r="C42" i="2"/>
  <c r="C41" i="2"/>
  <c r="C40" i="2"/>
  <c r="C39" i="2"/>
  <c r="C38" i="2"/>
  <c r="C37" i="2"/>
  <c r="C36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32" i="1"/>
  <c r="C15" i="1"/>
  <c r="E12" i="30"/>
  <c r="E19" i="30"/>
  <c r="C21" i="1"/>
  <c r="C20" i="1"/>
  <c r="C4" i="1"/>
  <c r="C3" i="1"/>
  <c r="C2" i="1"/>
  <c r="B21" i="25"/>
  <c r="B20" i="25"/>
  <c r="B19" i="25"/>
  <c r="B17" i="25"/>
  <c r="B16" i="25"/>
  <c r="B15" i="25"/>
  <c r="B13" i="25"/>
  <c r="B12" i="25"/>
  <c r="B11" i="25"/>
  <c r="B10" i="25"/>
  <c r="B8" i="25"/>
  <c r="B7" i="25"/>
  <c r="B6" i="25"/>
  <c r="B5" i="25"/>
  <c r="B4" i="25"/>
  <c r="B3" i="25"/>
  <c r="B2" i="25"/>
  <c r="B2" i="26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5" i="25"/>
  <c r="C4" i="25"/>
  <c r="C3" i="25"/>
  <c r="C2" i="25"/>
  <c r="E21" i="25"/>
  <c r="B21" i="27"/>
  <c r="B20" i="27"/>
  <c r="B19" i="27"/>
  <c r="B18" i="27"/>
  <c r="B16" i="27"/>
  <c r="B12" i="27"/>
  <c r="B11" i="27"/>
  <c r="B9" i="27"/>
  <c r="B8" i="27"/>
  <c r="B7" i="27"/>
  <c r="B6" i="27"/>
  <c r="B5" i="27"/>
  <c r="B4" i="27"/>
  <c r="B3" i="27"/>
  <c r="B2" i="27"/>
  <c r="D21" i="27"/>
  <c r="C21" i="27"/>
  <c r="D20" i="27"/>
  <c r="C20" i="27"/>
  <c r="D19" i="27"/>
  <c r="C19" i="27"/>
  <c r="D18" i="27"/>
  <c r="C18" i="27"/>
  <c r="D17" i="27"/>
  <c r="C17" i="27"/>
  <c r="D16" i="27"/>
  <c r="C16" i="27"/>
  <c r="D12" i="27"/>
  <c r="C12" i="27"/>
  <c r="D11" i="27"/>
  <c r="C11" i="27"/>
  <c r="D10" i="27"/>
  <c r="C10" i="27"/>
  <c r="D9" i="27"/>
  <c r="C9" i="27"/>
  <c r="D8" i="27"/>
  <c r="C8" i="27"/>
  <c r="D7" i="27"/>
  <c r="C7" i="27"/>
  <c r="D6" i="27"/>
  <c r="C6" i="27"/>
  <c r="D5" i="27"/>
  <c r="C5" i="27"/>
  <c r="D4" i="27"/>
  <c r="C4" i="27"/>
  <c r="D3" i="27"/>
  <c r="C3" i="27"/>
  <c r="C2" i="27"/>
  <c r="E21" i="27"/>
  <c r="E12" i="27"/>
  <c r="E41" i="9" l="1"/>
  <c r="D41" i="2"/>
  <c r="D40" i="2"/>
  <c r="D38" i="2"/>
  <c r="D37" i="2"/>
  <c r="D36" i="2"/>
  <c r="D28" i="2"/>
  <c r="D26" i="2"/>
  <c r="D25" i="2"/>
  <c r="D23" i="2"/>
  <c r="D22" i="2"/>
  <c r="D21" i="2"/>
  <c r="D20" i="2"/>
  <c r="D19" i="2"/>
  <c r="D16" i="2"/>
  <c r="D15" i="2"/>
  <c r="D11" i="2"/>
  <c r="D10" i="2"/>
  <c r="D9" i="2"/>
  <c r="D7" i="2"/>
  <c r="D3" i="2"/>
  <c r="D2" i="2" l="1"/>
  <c r="D24" i="1"/>
  <c r="D31" i="1"/>
  <c r="C31" i="1"/>
  <c r="D30" i="1"/>
  <c r="C30" i="1"/>
  <c r="D29" i="1"/>
  <c r="C29" i="1"/>
  <c r="D26" i="1"/>
  <c r="C26" i="1"/>
  <c r="D25" i="1"/>
  <c r="C25" i="1"/>
  <c r="C24" i="1"/>
  <c r="D23" i="1"/>
  <c r="C23" i="1"/>
  <c r="D22" i="1"/>
  <c r="C22" i="1"/>
  <c r="D20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3" i="1"/>
  <c r="D2" i="1"/>
  <c r="D42" i="2"/>
  <c r="C27" i="1"/>
  <c r="D27" i="1"/>
  <c r="D14" i="38"/>
  <c r="C14" i="38"/>
  <c r="C13" i="38"/>
  <c r="D13" i="38"/>
  <c r="E28" i="34"/>
  <c r="E19" i="34"/>
  <c r="E17" i="33"/>
  <c r="E8" i="33"/>
  <c r="E25" i="36"/>
  <c r="E18" i="36"/>
  <c r="E27" i="9"/>
  <c r="E26" i="9"/>
  <c r="F26" i="9"/>
  <c r="E38" i="35" l="1"/>
  <c r="E37" i="35"/>
  <c r="E25" i="35"/>
  <c r="E26" i="35"/>
  <c r="F25" i="35"/>
  <c r="E15" i="32" l="1"/>
  <c r="C15" i="32" s="1"/>
  <c r="E8" i="32"/>
  <c r="E14" i="1" s="1"/>
  <c r="E21" i="29"/>
  <c r="C21" i="29" s="1"/>
  <c r="E20" i="26"/>
  <c r="C20" i="26" s="1"/>
  <c r="E10" i="26"/>
  <c r="E29" i="31"/>
  <c r="C41" i="9"/>
  <c r="E19" i="28"/>
  <c r="C19" i="28" s="1"/>
  <c r="E20" i="28"/>
  <c r="E5" i="1" s="1"/>
  <c r="E43" i="2"/>
  <c r="E42" i="2"/>
  <c r="E41" i="2"/>
  <c r="E40" i="2"/>
  <c r="E39" i="2"/>
  <c r="E38" i="2"/>
  <c r="E37" i="2"/>
  <c r="E36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E32" i="1"/>
  <c r="E31" i="1"/>
  <c r="E30" i="1"/>
  <c r="E29" i="1"/>
  <c r="E27" i="1"/>
  <c r="E26" i="1"/>
  <c r="E25" i="1"/>
  <c r="E24" i="1"/>
  <c r="B24" i="1" s="1"/>
  <c r="E23" i="1"/>
  <c r="E22" i="1"/>
  <c r="E21" i="1"/>
  <c r="E20" i="1"/>
  <c r="E15" i="1"/>
  <c r="E13" i="1"/>
  <c r="B13" i="1" s="1"/>
  <c r="E12" i="1"/>
  <c r="E9" i="1"/>
  <c r="E8" i="1"/>
  <c r="E6" i="1"/>
  <c r="E4" i="1"/>
  <c r="E3" i="1"/>
  <c r="E2" i="1"/>
  <c r="E20" i="31"/>
  <c r="C20" i="31" s="1"/>
  <c r="F20" i="31"/>
  <c r="C19" i="30"/>
  <c r="D18" i="30"/>
  <c r="C18" i="30"/>
  <c r="D17" i="30"/>
  <c r="C17" i="30"/>
  <c r="D16" i="30"/>
  <c r="C16" i="30"/>
  <c r="C12" i="30"/>
  <c r="D11" i="30"/>
  <c r="C11" i="30"/>
  <c r="D10" i="30"/>
  <c r="C10" i="30"/>
  <c r="D9" i="30"/>
  <c r="C9" i="30"/>
  <c r="D8" i="30"/>
  <c r="C8" i="30"/>
  <c r="D7" i="30"/>
  <c r="C7" i="30"/>
  <c r="D6" i="30"/>
  <c r="C6" i="30"/>
  <c r="D5" i="30"/>
  <c r="C5" i="30"/>
  <c r="D4" i="30"/>
  <c r="C4" i="30"/>
  <c r="D3" i="30"/>
  <c r="C3" i="30"/>
  <c r="C2" i="30"/>
  <c r="D2" i="30"/>
  <c r="D14" i="32"/>
  <c r="C14" i="32"/>
  <c r="D13" i="32"/>
  <c r="C13" i="32"/>
  <c r="D12" i="32"/>
  <c r="C12" i="32"/>
  <c r="D8" i="32"/>
  <c r="D7" i="32"/>
  <c r="C7" i="32"/>
  <c r="D6" i="32"/>
  <c r="C6" i="32"/>
  <c r="D5" i="32"/>
  <c r="C5" i="32"/>
  <c r="D4" i="32"/>
  <c r="C4" i="32"/>
  <c r="D3" i="32"/>
  <c r="C3" i="32"/>
  <c r="C2" i="32"/>
  <c r="D2" i="32"/>
  <c r="D28" i="34"/>
  <c r="C28" i="34"/>
  <c r="D27" i="34"/>
  <c r="C27" i="34"/>
  <c r="D26" i="34"/>
  <c r="C26" i="34"/>
  <c r="D25" i="34"/>
  <c r="C25" i="34"/>
  <c r="D24" i="34"/>
  <c r="C24" i="34"/>
  <c r="D23" i="34"/>
  <c r="C23" i="34"/>
  <c r="C19" i="34"/>
  <c r="D18" i="34"/>
  <c r="C18" i="34"/>
  <c r="D17" i="34"/>
  <c r="C17" i="34"/>
  <c r="D16" i="34"/>
  <c r="C16" i="34"/>
  <c r="D15" i="34"/>
  <c r="C15" i="34"/>
  <c r="D14" i="34"/>
  <c r="C14" i="34"/>
  <c r="D13" i="34"/>
  <c r="C13" i="34"/>
  <c r="D12" i="34"/>
  <c r="C12" i="34"/>
  <c r="D11" i="34"/>
  <c r="C11" i="34"/>
  <c r="D10" i="34"/>
  <c r="C10" i="34"/>
  <c r="D9" i="34"/>
  <c r="C9" i="34"/>
  <c r="D8" i="34"/>
  <c r="C8" i="34"/>
  <c r="D7" i="34"/>
  <c r="C7" i="34"/>
  <c r="D6" i="34"/>
  <c r="C6" i="34"/>
  <c r="D5" i="34"/>
  <c r="C5" i="34"/>
  <c r="D4" i="34"/>
  <c r="C4" i="34"/>
  <c r="D3" i="34"/>
  <c r="C3" i="34"/>
  <c r="C2" i="34"/>
  <c r="D2" i="34"/>
  <c r="D17" i="33"/>
  <c r="C17" i="33"/>
  <c r="D16" i="33"/>
  <c r="C16" i="33"/>
  <c r="D15" i="33"/>
  <c r="C15" i="33"/>
  <c r="D14" i="33"/>
  <c r="C14" i="33"/>
  <c r="D13" i="33"/>
  <c r="C13" i="33"/>
  <c r="D12" i="33"/>
  <c r="C12" i="33"/>
  <c r="C8" i="33"/>
  <c r="D7" i="33"/>
  <c r="C7" i="33"/>
  <c r="D6" i="33"/>
  <c r="C6" i="33"/>
  <c r="D5" i="33"/>
  <c r="C5" i="33"/>
  <c r="D4" i="33"/>
  <c r="C4" i="33"/>
  <c r="D3" i="33"/>
  <c r="C3" i="33"/>
  <c r="C2" i="33"/>
  <c r="D2" i="33"/>
  <c r="C25" i="36"/>
  <c r="D24" i="36"/>
  <c r="C24" i="36"/>
  <c r="D23" i="36"/>
  <c r="C23" i="36"/>
  <c r="D22" i="36"/>
  <c r="C22" i="36"/>
  <c r="C18" i="36"/>
  <c r="D17" i="36"/>
  <c r="C17" i="36"/>
  <c r="D16" i="36"/>
  <c r="C16" i="36"/>
  <c r="D15" i="36"/>
  <c r="C15" i="36"/>
  <c r="D14" i="36"/>
  <c r="C14" i="36"/>
  <c r="D13" i="36"/>
  <c r="C13" i="36"/>
  <c r="D12" i="36"/>
  <c r="C12" i="36"/>
  <c r="D11" i="36"/>
  <c r="C11" i="36"/>
  <c r="D10" i="36"/>
  <c r="C10" i="36"/>
  <c r="D9" i="36"/>
  <c r="C9" i="36"/>
  <c r="D8" i="36"/>
  <c r="C8" i="36"/>
  <c r="D7" i="36"/>
  <c r="C7" i="36"/>
  <c r="D6" i="36"/>
  <c r="C6" i="36"/>
  <c r="D5" i="36"/>
  <c r="C5" i="36"/>
  <c r="D4" i="36"/>
  <c r="C4" i="36"/>
  <c r="D3" i="36"/>
  <c r="C3" i="36"/>
  <c r="C2" i="36"/>
  <c r="D2" i="36"/>
  <c r="D29" i="31"/>
  <c r="D28" i="31"/>
  <c r="C28" i="31"/>
  <c r="D27" i="31"/>
  <c r="C27" i="31"/>
  <c r="D26" i="31"/>
  <c r="C26" i="31"/>
  <c r="D25" i="31"/>
  <c r="C25" i="31"/>
  <c r="D24" i="31"/>
  <c r="C24" i="31"/>
  <c r="D19" i="31"/>
  <c r="C19" i="31"/>
  <c r="D18" i="31"/>
  <c r="C18" i="31"/>
  <c r="D17" i="31"/>
  <c r="C17" i="31"/>
  <c r="D16" i="31"/>
  <c r="C16" i="31"/>
  <c r="D15" i="31"/>
  <c r="C15" i="31"/>
  <c r="D14" i="31"/>
  <c r="C14" i="31"/>
  <c r="D13" i="31"/>
  <c r="C13" i="31"/>
  <c r="D12" i="31"/>
  <c r="C12" i="31"/>
  <c r="D11" i="31"/>
  <c r="C11" i="31"/>
  <c r="D10" i="31"/>
  <c r="C10" i="31"/>
  <c r="D9" i="31"/>
  <c r="C9" i="31"/>
  <c r="D8" i="31"/>
  <c r="C8" i="31"/>
  <c r="D7" i="31"/>
  <c r="C7" i="31"/>
  <c r="D6" i="31"/>
  <c r="C6" i="31"/>
  <c r="D5" i="31"/>
  <c r="C5" i="31"/>
  <c r="D4" i="31"/>
  <c r="C4" i="31"/>
  <c r="D3" i="31"/>
  <c r="C3" i="31"/>
  <c r="C2" i="31"/>
  <c r="D2" i="31"/>
  <c r="D26" i="29"/>
  <c r="C26" i="29"/>
  <c r="D25" i="29"/>
  <c r="C25" i="29"/>
  <c r="D20" i="29"/>
  <c r="C20" i="29"/>
  <c r="D19" i="29"/>
  <c r="C19" i="29"/>
  <c r="D18" i="29"/>
  <c r="C18" i="29"/>
  <c r="D17" i="29"/>
  <c r="C17" i="29"/>
  <c r="D16" i="29"/>
  <c r="C16" i="29"/>
  <c r="D15" i="29"/>
  <c r="C15" i="29"/>
  <c r="D14" i="29"/>
  <c r="C14" i="29"/>
  <c r="D13" i="29"/>
  <c r="C13" i="29"/>
  <c r="D12" i="29"/>
  <c r="C12" i="29"/>
  <c r="D11" i="29"/>
  <c r="C11" i="29"/>
  <c r="D10" i="29"/>
  <c r="C10" i="29"/>
  <c r="D9" i="29"/>
  <c r="C9" i="29"/>
  <c r="D8" i="29"/>
  <c r="C8" i="29"/>
  <c r="D7" i="29"/>
  <c r="C7" i="29"/>
  <c r="D6" i="29"/>
  <c r="C6" i="29"/>
  <c r="D5" i="29"/>
  <c r="C5" i="29"/>
  <c r="D4" i="29"/>
  <c r="C4" i="29"/>
  <c r="D3" i="29"/>
  <c r="C3" i="29"/>
  <c r="C2" i="29"/>
  <c r="D2" i="29"/>
  <c r="C38" i="35"/>
  <c r="D37" i="35"/>
  <c r="C37" i="35"/>
  <c r="D36" i="35"/>
  <c r="C36" i="35"/>
  <c r="D35" i="35"/>
  <c r="C35" i="35"/>
  <c r="D34" i="35"/>
  <c r="C34" i="35"/>
  <c r="D33" i="35"/>
  <c r="C33" i="35"/>
  <c r="D32" i="35"/>
  <c r="C32" i="35"/>
  <c r="D31" i="35"/>
  <c r="C31" i="35"/>
  <c r="D30" i="35"/>
  <c r="C30" i="35"/>
  <c r="C26" i="35"/>
  <c r="D25" i="35"/>
  <c r="C25" i="35"/>
  <c r="D24" i="35"/>
  <c r="C24" i="35"/>
  <c r="D23" i="35"/>
  <c r="C23" i="35"/>
  <c r="D22" i="35"/>
  <c r="C22" i="35"/>
  <c r="D21" i="35"/>
  <c r="C21" i="35"/>
  <c r="D20" i="35"/>
  <c r="C20" i="35"/>
  <c r="D19" i="35"/>
  <c r="C19" i="35"/>
  <c r="D18" i="35"/>
  <c r="C18" i="35"/>
  <c r="D17" i="35"/>
  <c r="C17" i="35"/>
  <c r="D16" i="35"/>
  <c r="C16" i="35"/>
  <c r="D15" i="35"/>
  <c r="C15" i="35"/>
  <c r="D14" i="35"/>
  <c r="C14" i="35"/>
  <c r="D13" i="35"/>
  <c r="C13" i="35"/>
  <c r="D12" i="35"/>
  <c r="C12" i="35"/>
  <c r="D11" i="35"/>
  <c r="C11" i="35"/>
  <c r="D10" i="35"/>
  <c r="C10" i="35"/>
  <c r="D9" i="35"/>
  <c r="C9" i="35"/>
  <c r="D8" i="35"/>
  <c r="C8" i="35"/>
  <c r="D7" i="35"/>
  <c r="C7" i="35"/>
  <c r="D6" i="35"/>
  <c r="C6" i="35"/>
  <c r="D5" i="35"/>
  <c r="C5" i="35"/>
  <c r="D4" i="35"/>
  <c r="C4" i="35"/>
  <c r="D3" i="35"/>
  <c r="C3" i="35"/>
  <c r="D2" i="35"/>
  <c r="C27" i="28"/>
  <c r="C26" i="28"/>
  <c r="C25" i="28"/>
  <c r="C24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C3" i="28"/>
  <c r="C2" i="28"/>
  <c r="D27" i="28"/>
  <c r="D26" i="28"/>
  <c r="D25" i="28"/>
  <c r="D24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D3" i="28"/>
  <c r="D2" i="28"/>
  <c r="D2" i="27"/>
  <c r="D20" i="26"/>
  <c r="D19" i="26"/>
  <c r="C19" i="26"/>
  <c r="D18" i="26"/>
  <c r="C18" i="26"/>
  <c r="D17" i="26"/>
  <c r="C17" i="26"/>
  <c r="D16" i="26"/>
  <c r="C16" i="26"/>
  <c r="D15" i="26"/>
  <c r="C15" i="26"/>
  <c r="C10" i="26"/>
  <c r="D9" i="26"/>
  <c r="C9" i="26"/>
  <c r="D8" i="26"/>
  <c r="C8" i="26"/>
  <c r="D7" i="26"/>
  <c r="C7" i="26"/>
  <c r="D6" i="26"/>
  <c r="C6" i="26"/>
  <c r="D5" i="26"/>
  <c r="C5" i="26"/>
  <c r="D4" i="26"/>
  <c r="C4" i="26"/>
  <c r="D3" i="26"/>
  <c r="C3" i="26"/>
  <c r="C2" i="26"/>
  <c r="D2" i="26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D5" i="25"/>
  <c r="D4" i="25"/>
  <c r="D3" i="25"/>
  <c r="D2" i="25"/>
  <c r="D28" i="1"/>
  <c r="C28" i="1"/>
  <c r="B18" i="30"/>
  <c r="B16" i="30"/>
  <c r="B11" i="30"/>
  <c r="B10" i="30"/>
  <c r="B7" i="30"/>
  <c r="B6" i="30"/>
  <c r="B5" i="30"/>
  <c r="B4" i="30"/>
  <c r="B3" i="30"/>
  <c r="B2" i="30"/>
  <c r="B14" i="32"/>
  <c r="B12" i="32"/>
  <c r="B8" i="32"/>
  <c r="B7" i="32"/>
  <c r="B6" i="32"/>
  <c r="B5" i="32"/>
  <c r="B4" i="32"/>
  <c r="B3" i="32"/>
  <c r="B2" i="32"/>
  <c r="B28" i="34"/>
  <c r="B27" i="34"/>
  <c r="B24" i="34"/>
  <c r="B23" i="34"/>
  <c r="B19" i="34"/>
  <c r="B18" i="34"/>
  <c r="B17" i="34"/>
  <c r="B16" i="34"/>
  <c r="B14" i="34"/>
  <c r="B13" i="34"/>
  <c r="B12" i="34"/>
  <c r="B11" i="34"/>
  <c r="B10" i="34"/>
  <c r="B9" i="34"/>
  <c r="B8" i="34"/>
  <c r="B7" i="34"/>
  <c r="B6" i="34"/>
  <c r="B3" i="34"/>
  <c r="B2" i="34"/>
  <c r="B16" i="33"/>
  <c r="B14" i="33"/>
  <c r="B13" i="33"/>
  <c r="B12" i="33"/>
  <c r="B7" i="33"/>
  <c r="B6" i="33"/>
  <c r="B5" i="33"/>
  <c r="B4" i="33"/>
  <c r="B3" i="33"/>
  <c r="B2" i="33"/>
  <c r="B14" i="38"/>
  <c r="B13" i="38"/>
  <c r="B24" i="36"/>
  <c r="B22" i="36"/>
  <c r="B17" i="36"/>
  <c r="B15" i="36"/>
  <c r="B14" i="36"/>
  <c r="B13" i="36"/>
  <c r="B12" i="36"/>
  <c r="B10" i="36"/>
  <c r="B9" i="36"/>
  <c r="B8" i="36"/>
  <c r="B7" i="36"/>
  <c r="B6" i="36"/>
  <c r="B5" i="36"/>
  <c r="B19" i="31"/>
  <c r="B17" i="31"/>
  <c r="B16" i="31"/>
  <c r="B15" i="31"/>
  <c r="B14" i="31"/>
  <c r="B12" i="31"/>
  <c r="B10" i="31"/>
  <c r="B9" i="31"/>
  <c r="B7" i="31"/>
  <c r="B6" i="31"/>
  <c r="B4" i="31"/>
  <c r="B3" i="31"/>
  <c r="B26" i="29"/>
  <c r="B25" i="29"/>
  <c r="B20" i="29"/>
  <c r="B19" i="29"/>
  <c r="B18" i="29"/>
  <c r="B17" i="29"/>
  <c r="B16" i="29"/>
  <c r="B15" i="29"/>
  <c r="B14" i="29"/>
  <c r="B13" i="29"/>
  <c r="B11" i="29"/>
  <c r="B10" i="29"/>
  <c r="B9" i="29"/>
  <c r="B7" i="29"/>
  <c r="B6" i="29"/>
  <c r="B5" i="29"/>
  <c r="B3" i="29"/>
  <c r="B2" i="29"/>
  <c r="B37" i="35"/>
  <c r="B35" i="35"/>
  <c r="B33" i="35"/>
  <c r="B32" i="35"/>
  <c r="B30" i="35"/>
  <c r="B25" i="35"/>
  <c r="B24" i="35"/>
  <c r="B21" i="35"/>
  <c r="B20" i="35"/>
  <c r="B19" i="35"/>
  <c r="B18" i="35"/>
  <c r="B17" i="35"/>
  <c r="B15" i="35"/>
  <c r="B14" i="35"/>
  <c r="B13" i="35"/>
  <c r="B12" i="35"/>
  <c r="B11" i="35"/>
  <c r="B10" i="35"/>
  <c r="B9" i="35"/>
  <c r="B8" i="35"/>
  <c r="B7" i="35"/>
  <c r="B5" i="35"/>
  <c r="B4" i="35"/>
  <c r="B3" i="35"/>
  <c r="B2" i="35"/>
  <c r="B18" i="28"/>
  <c r="B14" i="28"/>
  <c r="B13" i="28"/>
  <c r="B7" i="28"/>
  <c r="B5" i="28"/>
  <c r="B3" i="28"/>
  <c r="B2" i="28"/>
  <c r="B18" i="26"/>
  <c r="B16" i="26"/>
  <c r="B15" i="26"/>
  <c r="B9" i="26"/>
  <c r="B8" i="26"/>
  <c r="B7" i="26"/>
  <c r="B6" i="26"/>
  <c r="B4" i="26"/>
  <c r="B30" i="1"/>
  <c r="B27" i="1"/>
  <c r="B26" i="1"/>
  <c r="B40" i="9"/>
  <c r="B39" i="9"/>
  <c r="B37" i="9"/>
  <c r="B36" i="9"/>
  <c r="B34" i="9"/>
  <c r="B33" i="9"/>
  <c r="B32" i="9"/>
  <c r="B31" i="9"/>
  <c r="B26" i="9"/>
  <c r="B25" i="9"/>
  <c r="B23" i="9"/>
  <c r="B22" i="9"/>
  <c r="B21" i="9"/>
  <c r="B20" i="9"/>
  <c r="B19" i="9"/>
  <c r="B18" i="9"/>
  <c r="B16" i="9"/>
  <c r="B15" i="9"/>
  <c r="B14" i="9"/>
  <c r="B13" i="9"/>
  <c r="B11" i="9"/>
  <c r="B10" i="9"/>
  <c r="B9" i="9"/>
  <c r="B8" i="9"/>
  <c r="B7" i="9"/>
  <c r="B6" i="9"/>
  <c r="B5" i="9"/>
  <c r="B4" i="9"/>
  <c r="B3" i="9"/>
  <c r="B2" i="9"/>
  <c r="C40" i="9"/>
  <c r="C39" i="9"/>
  <c r="C38" i="9"/>
  <c r="C37" i="9"/>
  <c r="C36" i="9"/>
  <c r="C35" i="9"/>
  <c r="C34" i="9"/>
  <c r="C33" i="9"/>
  <c r="C32" i="9"/>
  <c r="C31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D40" i="9"/>
  <c r="D39" i="9"/>
  <c r="D38" i="9"/>
  <c r="D37" i="9"/>
  <c r="D36" i="9"/>
  <c r="D35" i="9"/>
  <c r="D34" i="9"/>
  <c r="D33" i="9"/>
  <c r="D32" i="9"/>
  <c r="D31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F41" i="9"/>
  <c r="D41" i="9" s="1"/>
  <c r="F19" i="30"/>
  <c r="F32" i="1" s="1"/>
  <c r="F12" i="30"/>
  <c r="G9" i="1"/>
  <c r="G13" i="1"/>
  <c r="G14" i="1"/>
  <c r="G12" i="30"/>
  <c r="G15" i="1"/>
  <c r="F21" i="25"/>
  <c r="F2" i="1"/>
  <c r="G43" i="2"/>
  <c r="F20" i="28"/>
  <c r="B20" i="28" s="1"/>
  <c r="F28" i="34"/>
  <c r="F43" i="2"/>
  <c r="D43" i="2" s="1"/>
  <c r="F10" i="26"/>
  <c r="B10" i="26" s="1"/>
  <c r="F3" i="1"/>
  <c r="F20" i="26"/>
  <c r="B20" i="26" s="1"/>
  <c r="F17" i="33"/>
  <c r="F29" i="1" s="1"/>
  <c r="F8" i="33"/>
  <c r="D8" i="33" s="1"/>
  <c r="F15" i="32"/>
  <c r="D15" i="32" s="1"/>
  <c r="F8" i="32"/>
  <c r="F21" i="29"/>
  <c r="D21" i="29" s="1"/>
  <c r="G14" i="38"/>
  <c r="F14" i="38"/>
  <c r="F38" i="35"/>
  <c r="B38" i="35" s="1"/>
  <c r="F26" i="35"/>
  <c r="D26" i="35" s="1"/>
  <c r="F29" i="31"/>
  <c r="G26" i="9"/>
  <c r="G27" i="9"/>
  <c r="F21" i="27"/>
  <c r="F12" i="27"/>
  <c r="F39" i="2"/>
  <c r="D39" i="2" s="1"/>
  <c r="F36" i="2"/>
  <c r="F40" i="2"/>
  <c r="F41" i="2"/>
  <c r="F42" i="2"/>
  <c r="F37" i="2"/>
  <c r="F38" i="2"/>
  <c r="F4" i="2"/>
  <c r="D4" i="2" s="1"/>
  <c r="F12" i="2"/>
  <c r="D12" i="2" s="1"/>
  <c r="F13" i="2"/>
  <c r="D13" i="2" s="1"/>
  <c r="F14" i="2"/>
  <c r="D14" i="2" s="1"/>
  <c r="F17" i="2"/>
  <c r="D17" i="2" s="1"/>
  <c r="F18" i="2"/>
  <c r="D18" i="2" s="1"/>
  <c r="F24" i="2"/>
  <c r="D24" i="2" s="1"/>
  <c r="F27" i="2"/>
  <c r="D27" i="2" s="1"/>
  <c r="F29" i="2"/>
  <c r="D29" i="2" s="1"/>
  <c r="F3" i="2"/>
  <c r="F30" i="2"/>
  <c r="D30" i="2" s="1"/>
  <c r="F10" i="2"/>
  <c r="F11" i="2"/>
  <c r="F15" i="2"/>
  <c r="F9" i="2"/>
  <c r="F26" i="2"/>
  <c r="F8" i="2"/>
  <c r="D8" i="2" s="1"/>
  <c r="F16" i="2"/>
  <c r="F19" i="2"/>
  <c r="F23" i="2"/>
  <c r="F25" i="2"/>
  <c r="F2" i="2"/>
  <c r="F20" i="2"/>
  <c r="F22" i="2"/>
  <c r="F5" i="2"/>
  <c r="D5" i="2" s="1"/>
  <c r="F6" i="2"/>
  <c r="D6" i="2" s="1"/>
  <c r="F7" i="2"/>
  <c r="F21" i="2"/>
  <c r="F28" i="2"/>
  <c r="F21" i="1"/>
  <c r="D21" i="1" s="1"/>
  <c r="F27" i="1"/>
  <c r="F24" i="1"/>
  <c r="F20" i="1"/>
  <c r="F30" i="1"/>
  <c r="F22" i="1"/>
  <c r="F26" i="1"/>
  <c r="F25" i="36"/>
  <c r="D25" i="36" s="1"/>
  <c r="F18" i="36"/>
  <c r="B18" i="36" s="1"/>
  <c r="G18" i="36"/>
  <c r="G17" i="33"/>
  <c r="G8" i="33"/>
  <c r="G12" i="1"/>
  <c r="G25" i="36"/>
  <c r="G38" i="35"/>
  <c r="G23" i="1"/>
  <c r="G26" i="35"/>
  <c r="G6" i="1"/>
  <c r="G20" i="26"/>
  <c r="G10" i="26"/>
  <c r="G3" i="1"/>
  <c r="G39" i="2"/>
  <c r="G40" i="2"/>
  <c r="G42" i="2"/>
  <c r="G37" i="2"/>
  <c r="G38" i="2"/>
  <c r="G41" i="2"/>
  <c r="G3" i="2"/>
  <c r="G7" i="2"/>
  <c r="G10" i="2"/>
  <c r="G12" i="2"/>
  <c r="G13" i="2"/>
  <c r="G14" i="2"/>
  <c r="G17" i="2"/>
  <c r="G18" i="2"/>
  <c r="G21" i="2"/>
  <c r="G23" i="2"/>
  <c r="G24" i="2"/>
  <c r="G25" i="2"/>
  <c r="G27" i="2"/>
  <c r="G29" i="2"/>
  <c r="G31" i="2"/>
  <c r="G4" i="2"/>
  <c r="G30" i="2"/>
  <c r="G11" i="2"/>
  <c r="G15" i="2"/>
  <c r="G9" i="2"/>
  <c r="G26" i="2"/>
  <c r="G8" i="2"/>
  <c r="G19" i="2"/>
  <c r="G5" i="2"/>
  <c r="G6" i="2"/>
  <c r="G27" i="1"/>
  <c r="G22" i="1"/>
  <c r="G24" i="1"/>
  <c r="G30" i="1"/>
  <c r="G31" i="1"/>
  <c r="G32" i="1"/>
  <c r="G41" i="9"/>
  <c r="G19" i="30"/>
  <c r="G15" i="32"/>
  <c r="G8" i="32"/>
  <c r="G21" i="29"/>
  <c r="G7" i="1"/>
  <c r="G27" i="28"/>
  <c r="G20" i="28"/>
  <c r="G5" i="1"/>
  <c r="G28" i="34"/>
  <c r="G19" i="34"/>
  <c r="G21" i="27"/>
  <c r="G12" i="27"/>
  <c r="G4" i="1"/>
  <c r="G29" i="31"/>
  <c r="G20" i="31"/>
  <c r="G19" i="31"/>
  <c r="G36" i="2"/>
  <c r="G28" i="2"/>
  <c r="G22" i="2"/>
  <c r="G20" i="2"/>
  <c r="G16" i="2"/>
  <c r="G2" i="2"/>
  <c r="G21" i="25"/>
  <c r="H43" i="2"/>
  <c r="H19" i="31"/>
  <c r="H20" i="31"/>
  <c r="H8" i="1"/>
  <c r="H38" i="35"/>
  <c r="H21" i="25"/>
  <c r="H2" i="1"/>
  <c r="H26" i="9"/>
  <c r="H26" i="35"/>
  <c r="H12" i="30"/>
  <c r="H19" i="30"/>
  <c r="H32" i="1"/>
  <c r="H17" i="33"/>
  <c r="H29" i="1"/>
  <c r="H8" i="33"/>
  <c r="H14" i="38"/>
  <c r="H27" i="1"/>
  <c r="H26" i="29"/>
  <c r="H24" i="1"/>
  <c r="H21" i="29"/>
  <c r="H7" i="1"/>
  <c r="H8" i="32"/>
  <c r="H15" i="32"/>
  <c r="H31" i="1"/>
  <c r="H27" i="9"/>
  <c r="H20" i="26"/>
  <c r="H20" i="1"/>
  <c r="H10" i="26"/>
  <c r="H41" i="9"/>
  <c r="H28" i="34"/>
  <c r="H30" i="1"/>
  <c r="H19" i="34"/>
  <c r="H13" i="1"/>
  <c r="H27" i="28"/>
  <c r="H22" i="1"/>
  <c r="H20" i="28"/>
  <c r="H5" i="1"/>
  <c r="H15" i="2"/>
  <c r="H25" i="1"/>
  <c r="H26" i="1"/>
  <c r="H21" i="1"/>
  <c r="H15" i="1"/>
  <c r="H9" i="1"/>
  <c r="H4" i="1"/>
  <c r="H3" i="1"/>
  <c r="H42" i="2"/>
  <c r="H41" i="2"/>
  <c r="H40" i="2"/>
  <c r="H39" i="2"/>
  <c r="H38" i="2"/>
  <c r="H37" i="2"/>
  <c r="H36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I2" i="2"/>
  <c r="I5" i="2"/>
  <c r="I6" i="2"/>
  <c r="I7" i="2"/>
  <c r="I9" i="2"/>
  <c r="I10" i="2"/>
  <c r="I11" i="2"/>
  <c r="I13" i="2"/>
  <c r="I16" i="2"/>
  <c r="I19" i="2"/>
  <c r="I20" i="2"/>
  <c r="I21" i="2"/>
  <c r="I22" i="2"/>
  <c r="I24" i="2"/>
  <c r="I25" i="2"/>
  <c r="I27" i="2"/>
  <c r="I28" i="2"/>
  <c r="I29" i="2"/>
  <c r="I25" i="36"/>
  <c r="I18" i="36"/>
  <c r="I19" i="30"/>
  <c r="I32" i="1"/>
  <c r="I12" i="30"/>
  <c r="I15" i="1"/>
  <c r="I20" i="31"/>
  <c r="I27" i="34"/>
  <c r="I25" i="34"/>
  <c r="I23" i="34"/>
  <c r="I28" i="34"/>
  <c r="I30" i="1"/>
  <c r="I18" i="34"/>
  <c r="I17" i="34"/>
  <c r="I30" i="2"/>
  <c r="I16" i="34"/>
  <c r="I14" i="34"/>
  <c r="I23" i="2"/>
  <c r="I13" i="34"/>
  <c r="I12" i="34"/>
  <c r="I26" i="2"/>
  <c r="I11" i="34"/>
  <c r="I18" i="2"/>
  <c r="I10" i="34"/>
  <c r="I9" i="34"/>
  <c r="I15" i="2"/>
  <c r="I8" i="34"/>
  <c r="I7" i="34"/>
  <c r="I31" i="2"/>
  <c r="I6" i="34"/>
  <c r="I12" i="2"/>
  <c r="I4" i="34"/>
  <c r="I3" i="34"/>
  <c r="I4" i="2"/>
  <c r="I2" i="34"/>
  <c r="I19" i="34"/>
  <c r="I13" i="1"/>
  <c r="I14" i="38"/>
  <c r="I26" i="29"/>
  <c r="I21" i="29"/>
  <c r="I7" i="1"/>
  <c r="I17" i="33"/>
  <c r="I8" i="33"/>
  <c r="I12" i="1"/>
  <c r="I20" i="26"/>
  <c r="I10" i="26"/>
  <c r="I41" i="9"/>
  <c r="I21" i="25"/>
  <c r="I29" i="31"/>
  <c r="I21" i="27"/>
  <c r="I21" i="1"/>
  <c r="I12" i="27"/>
  <c r="I4" i="1"/>
  <c r="I42" i="2"/>
  <c r="I41" i="2"/>
  <c r="I40" i="2"/>
  <c r="I39" i="2"/>
  <c r="I38" i="2"/>
  <c r="I37" i="2"/>
  <c r="I36" i="2"/>
  <c r="I24" i="1"/>
  <c r="I15" i="32"/>
  <c r="I31" i="1"/>
  <c r="I8" i="32"/>
  <c r="I26" i="9"/>
  <c r="I27" i="9"/>
  <c r="J38" i="35"/>
  <c r="J23" i="1"/>
  <c r="I38" i="35"/>
  <c r="I23" i="1"/>
  <c r="I26" i="35"/>
  <c r="I20" i="28"/>
  <c r="I27" i="28"/>
  <c r="I22" i="1"/>
  <c r="J29" i="31"/>
  <c r="J25" i="1"/>
  <c r="J10" i="30"/>
  <c r="J12" i="30"/>
  <c r="J15" i="1"/>
  <c r="J19" i="30"/>
  <c r="K19" i="30"/>
  <c r="K32" i="1"/>
  <c r="J17" i="34"/>
  <c r="J30" i="2"/>
  <c r="J6" i="34"/>
  <c r="J18" i="34"/>
  <c r="J8" i="25"/>
  <c r="J12" i="2"/>
  <c r="J3" i="34"/>
  <c r="J19" i="34"/>
  <c r="J13" i="1"/>
  <c r="J4" i="25"/>
  <c r="J21" i="27"/>
  <c r="J21" i="1"/>
  <c r="J12" i="27"/>
  <c r="J4" i="1"/>
  <c r="J17" i="33"/>
  <c r="J29" i="1"/>
  <c r="J8" i="33"/>
  <c r="J26" i="1"/>
  <c r="J22" i="1"/>
  <c r="J8" i="32"/>
  <c r="J14" i="1"/>
  <c r="J26" i="35"/>
  <c r="J6" i="1"/>
  <c r="J36" i="2"/>
  <c r="J21" i="2"/>
  <c r="J43" i="2"/>
  <c r="K43" i="2"/>
  <c r="J42" i="2"/>
  <c r="J41" i="2"/>
  <c r="J40" i="2"/>
  <c r="J39" i="2"/>
  <c r="J38" i="2"/>
  <c r="J37" i="2"/>
  <c r="J20" i="25"/>
  <c r="J16" i="25"/>
  <c r="J23" i="2"/>
  <c r="J13" i="25"/>
  <c r="J18" i="2"/>
  <c r="J12" i="25"/>
  <c r="J10" i="25"/>
  <c r="J14" i="2"/>
  <c r="J2" i="25"/>
  <c r="J21" i="25"/>
  <c r="J2" i="1"/>
  <c r="J20" i="31"/>
  <c r="J8" i="1"/>
  <c r="J18" i="36"/>
  <c r="J9" i="1"/>
  <c r="J15" i="32"/>
  <c r="J31" i="1"/>
  <c r="M8" i="32"/>
  <c r="M14" i="1"/>
  <c r="L8" i="32"/>
  <c r="L14" i="1"/>
  <c r="K8" i="32"/>
  <c r="J25" i="2"/>
  <c r="J29" i="2"/>
  <c r="J28" i="2"/>
  <c r="J27" i="2"/>
  <c r="J26" i="2"/>
  <c r="J24" i="2"/>
  <c r="J22" i="2"/>
  <c r="J20" i="2"/>
  <c r="J19" i="2"/>
  <c r="J16" i="2"/>
  <c r="J15" i="2"/>
  <c r="J13" i="2"/>
  <c r="J11" i="2"/>
  <c r="J10" i="2"/>
  <c r="J9" i="2"/>
  <c r="K9" i="2"/>
  <c r="J8" i="2"/>
  <c r="J7" i="2"/>
  <c r="J6" i="2"/>
  <c r="J5" i="2"/>
  <c r="J3" i="2"/>
  <c r="J2" i="2"/>
  <c r="J27" i="9"/>
  <c r="J21" i="29"/>
  <c r="J26" i="29"/>
  <c r="J24" i="1"/>
  <c r="K21" i="25"/>
  <c r="K2" i="1"/>
  <c r="J30" i="1"/>
  <c r="J27" i="1"/>
  <c r="K25" i="1"/>
  <c r="J20" i="26"/>
  <c r="J20" i="1"/>
  <c r="K26" i="35"/>
  <c r="K6" i="1"/>
  <c r="J5" i="1"/>
  <c r="J10" i="26"/>
  <c r="J3" i="1"/>
  <c r="J41" i="9"/>
  <c r="K28" i="34"/>
  <c r="K30" i="1"/>
  <c r="K8" i="33"/>
  <c r="K20" i="28"/>
  <c r="K5" i="1"/>
  <c r="K21" i="27"/>
  <c r="K21" i="1"/>
  <c r="K9" i="1"/>
  <c r="K27" i="9"/>
  <c r="S4" i="2"/>
  <c r="R4" i="2"/>
  <c r="Q4" i="2"/>
  <c r="P4" i="2"/>
  <c r="O4" i="2"/>
  <c r="N4" i="2"/>
  <c r="M4" i="2"/>
  <c r="L4" i="2"/>
  <c r="K4" i="2"/>
  <c r="K2" i="2"/>
  <c r="K3" i="2"/>
  <c r="K5" i="2"/>
  <c r="K6" i="2"/>
  <c r="K7" i="2"/>
  <c r="K8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12" i="30"/>
  <c r="K15" i="1"/>
  <c r="K41" i="9"/>
  <c r="K27" i="28"/>
  <c r="K21" i="29"/>
  <c r="K7" i="1"/>
  <c r="K26" i="29"/>
  <c r="K24" i="1"/>
  <c r="K12" i="27"/>
  <c r="K4" i="1"/>
  <c r="S6" i="2"/>
  <c r="R6" i="2"/>
  <c r="Q6" i="2"/>
  <c r="P6" i="2"/>
  <c r="O6" i="2"/>
  <c r="N6" i="2"/>
  <c r="M6" i="2"/>
  <c r="L6" i="2"/>
  <c r="K17" i="33"/>
  <c r="K29" i="1"/>
  <c r="K38" i="35"/>
  <c r="K23" i="1"/>
  <c r="K3" i="1"/>
  <c r="K27" i="1"/>
  <c r="K26" i="1"/>
  <c r="K20" i="1"/>
  <c r="R43" i="2"/>
  <c r="Q43" i="2"/>
  <c r="P43" i="2"/>
  <c r="O43" i="2"/>
  <c r="O36" i="2"/>
  <c r="O37" i="2"/>
  <c r="O38" i="2"/>
  <c r="O39" i="2"/>
  <c r="O40" i="2"/>
  <c r="O41" i="2"/>
  <c r="O42" i="2"/>
  <c r="N43" i="2"/>
  <c r="M43" i="2"/>
  <c r="L43" i="2"/>
  <c r="K19" i="34"/>
  <c r="K13" i="1"/>
  <c r="K20" i="31"/>
  <c r="K8" i="1"/>
  <c r="K15" i="32"/>
  <c r="K31" i="1"/>
  <c r="K42" i="2"/>
  <c r="K41" i="2"/>
  <c r="K40" i="2"/>
  <c r="K38" i="2"/>
  <c r="K37" i="2"/>
  <c r="K36" i="2"/>
  <c r="S30" i="2"/>
  <c r="Q30" i="2"/>
  <c r="P30" i="2"/>
  <c r="O30" i="2"/>
  <c r="N30" i="2"/>
  <c r="M30" i="2"/>
  <c r="L30" i="2"/>
  <c r="L27" i="28"/>
  <c r="L22" i="1"/>
  <c r="N38" i="35"/>
  <c r="N23" i="1"/>
  <c r="O38" i="35"/>
  <c r="O23" i="1"/>
  <c r="P38" i="35"/>
  <c r="P23" i="1"/>
  <c r="M38" i="35"/>
  <c r="M23" i="1"/>
  <c r="L14" i="38"/>
  <c r="L27" i="1"/>
  <c r="L12" i="30"/>
  <c r="L15" i="1"/>
  <c r="L32" i="1"/>
  <c r="L42" i="2"/>
  <c r="L41" i="2"/>
  <c r="L40" i="2"/>
  <c r="L39" i="2"/>
  <c r="L38" i="2"/>
  <c r="L37" i="2"/>
  <c r="L36" i="2"/>
  <c r="S31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5" i="2"/>
  <c r="S3" i="2"/>
  <c r="S2" i="2"/>
  <c r="R31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5" i="2"/>
  <c r="R3" i="2"/>
  <c r="R2" i="2"/>
  <c r="Q31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5" i="2"/>
  <c r="Q3" i="2"/>
  <c r="Q2" i="2"/>
  <c r="P31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5" i="2"/>
  <c r="P3" i="2"/>
  <c r="P2" i="2"/>
  <c r="O31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5" i="2"/>
  <c r="O3" i="2"/>
  <c r="O2" i="2"/>
  <c r="N31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5" i="2"/>
  <c r="N2" i="2"/>
  <c r="N3" i="2"/>
  <c r="M31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5" i="2"/>
  <c r="M3" i="2"/>
  <c r="M2" i="2"/>
  <c r="L31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5" i="2"/>
  <c r="L3" i="2"/>
  <c r="L2" i="2"/>
  <c r="L20" i="28"/>
  <c r="L5" i="1"/>
  <c r="L28" i="34"/>
  <c r="L30" i="1"/>
  <c r="L19" i="34"/>
  <c r="L13" i="1"/>
  <c r="L26" i="29"/>
  <c r="L24" i="1"/>
  <c r="L20" i="31"/>
  <c r="L8" i="1"/>
  <c r="L15" i="32"/>
  <c r="L31" i="1"/>
  <c r="L25" i="36"/>
  <c r="L26" i="1"/>
  <c r="L18" i="36"/>
  <c r="L9" i="1"/>
  <c r="L8" i="33"/>
  <c r="L12" i="1"/>
  <c r="L17" i="33"/>
  <c r="L29" i="1"/>
  <c r="L38" i="35"/>
  <c r="L23" i="1"/>
  <c r="L26" i="35"/>
  <c r="L6" i="1"/>
  <c r="L27" i="9"/>
  <c r="L21" i="27"/>
  <c r="L21" i="1"/>
  <c r="L20" i="1"/>
  <c r="L25" i="1"/>
  <c r="L12" i="27"/>
  <c r="L4" i="1"/>
  <c r="L21" i="25"/>
  <c r="L2" i="1"/>
  <c r="L21" i="29"/>
  <c r="L7" i="1"/>
  <c r="L3" i="1"/>
  <c r="L41" i="9"/>
  <c r="M19" i="34"/>
  <c r="M13" i="1"/>
  <c r="M22" i="34"/>
  <c r="M28" i="34"/>
  <c r="M30" i="1"/>
  <c r="N8" i="32"/>
  <c r="N14" i="1"/>
  <c r="M17" i="33"/>
  <c r="M29" i="1"/>
  <c r="M8" i="33"/>
  <c r="M12" i="1"/>
  <c r="M42" i="2"/>
  <c r="M41" i="2"/>
  <c r="M40" i="2"/>
  <c r="M39" i="2"/>
  <c r="M38" i="2"/>
  <c r="M37" i="2"/>
  <c r="M36" i="2"/>
  <c r="M27" i="9"/>
  <c r="M15" i="32"/>
  <c r="M31" i="1"/>
  <c r="M25" i="36"/>
  <c r="M26" i="1"/>
  <c r="M18" i="36"/>
  <c r="M9" i="1"/>
  <c r="N26" i="35"/>
  <c r="N6" i="1"/>
  <c r="M26" i="35"/>
  <c r="M6" i="1"/>
  <c r="M14" i="38"/>
  <c r="M27" i="1"/>
  <c r="M21" i="27"/>
  <c r="M21" i="1"/>
  <c r="M12" i="27"/>
  <c r="M4" i="1"/>
  <c r="M20" i="31"/>
  <c r="M8" i="1"/>
  <c r="M14" i="26"/>
  <c r="M19" i="30"/>
  <c r="M32" i="1"/>
  <c r="M12" i="30"/>
  <c r="M15" i="1"/>
  <c r="M2" i="1"/>
  <c r="M3" i="1"/>
  <c r="M20" i="28"/>
  <c r="M5" i="1"/>
  <c r="M21" i="29"/>
  <c r="M7" i="1"/>
  <c r="M20" i="1"/>
  <c r="M26" i="29"/>
  <c r="M24" i="1"/>
  <c r="M27" i="28"/>
  <c r="M22" i="1"/>
  <c r="N29" i="31"/>
  <c r="N25" i="1"/>
  <c r="M29" i="31"/>
  <c r="M25" i="1"/>
  <c r="M41" i="9"/>
  <c r="M15" i="30"/>
  <c r="M11" i="32"/>
  <c r="M12" i="38"/>
  <c r="M21" i="36"/>
  <c r="M23" i="31"/>
  <c r="M24" i="29"/>
  <c r="M29" i="35"/>
  <c r="M23" i="28"/>
  <c r="M35" i="2"/>
  <c r="M19" i="1"/>
  <c r="M30" i="9"/>
  <c r="N27" i="28"/>
  <c r="N22" i="1"/>
  <c r="N20" i="28"/>
  <c r="N5" i="1"/>
  <c r="N14" i="38"/>
  <c r="N27" i="1"/>
  <c r="N27" i="9"/>
  <c r="S42" i="2"/>
  <c r="S41" i="2"/>
  <c r="S40" i="2"/>
  <c r="S38" i="2"/>
  <c r="S37" i="2"/>
  <c r="S36" i="2"/>
  <c r="R42" i="2"/>
  <c r="R41" i="2"/>
  <c r="R40" i="2"/>
  <c r="R39" i="2"/>
  <c r="R38" i="2"/>
  <c r="R37" i="2"/>
  <c r="R36" i="2"/>
  <c r="Q42" i="2"/>
  <c r="Q41" i="2"/>
  <c r="Q40" i="2"/>
  <c r="Q39" i="2"/>
  <c r="Q38" i="2"/>
  <c r="Q37" i="2"/>
  <c r="Q36" i="2"/>
  <c r="P42" i="2"/>
  <c r="P41" i="2"/>
  <c r="P40" i="2"/>
  <c r="P39" i="2"/>
  <c r="P38" i="2"/>
  <c r="P37" i="2"/>
  <c r="P36" i="2"/>
  <c r="N42" i="2"/>
  <c r="N41" i="2"/>
  <c r="N40" i="2"/>
  <c r="N39" i="2"/>
  <c r="N38" i="2"/>
  <c r="N37" i="2"/>
  <c r="N36" i="2"/>
  <c r="N17" i="33"/>
  <c r="N29" i="1"/>
  <c r="N8" i="33"/>
  <c r="N12" i="1"/>
  <c r="R22" i="1"/>
  <c r="Q22" i="1"/>
  <c r="N20" i="31"/>
  <c r="N8" i="1"/>
  <c r="N15" i="32"/>
  <c r="N31" i="1"/>
  <c r="N19" i="30"/>
  <c r="N32" i="1"/>
  <c r="N12" i="30"/>
  <c r="N15" i="1"/>
  <c r="N26" i="29"/>
  <c r="N24" i="1"/>
  <c r="N21" i="29"/>
  <c r="N7" i="1"/>
  <c r="N21" i="27"/>
  <c r="N21" i="1"/>
  <c r="N12" i="27"/>
  <c r="N4" i="1"/>
  <c r="N25" i="36"/>
  <c r="N26" i="1"/>
  <c r="N18" i="36"/>
  <c r="N9" i="1"/>
  <c r="N28" i="34"/>
  <c r="N30" i="1"/>
  <c r="N19" i="34"/>
  <c r="N13" i="1"/>
  <c r="N20" i="1"/>
  <c r="N3" i="1"/>
  <c r="N21" i="25"/>
  <c r="N2" i="1"/>
  <c r="N41" i="9"/>
  <c r="P41" i="9"/>
  <c r="Q41" i="9"/>
  <c r="R41" i="9"/>
  <c r="S41" i="9"/>
  <c r="T41" i="9"/>
  <c r="U41" i="9"/>
  <c r="O41" i="9"/>
  <c r="O14" i="38"/>
  <c r="O27" i="1"/>
  <c r="O27" i="9"/>
  <c r="O19" i="34"/>
  <c r="O13" i="1"/>
  <c r="O28" i="34"/>
  <c r="O30" i="1"/>
  <c r="O25" i="36"/>
  <c r="O26" i="1"/>
  <c r="O18" i="36"/>
  <c r="O9" i="1"/>
  <c r="O17" i="33"/>
  <c r="O29" i="1"/>
  <c r="O8" i="33"/>
  <c r="O12" i="1"/>
  <c r="O26" i="29"/>
  <c r="O24" i="1"/>
  <c r="O15" i="32"/>
  <c r="O31" i="1"/>
  <c r="O8" i="32"/>
  <c r="O14" i="1"/>
  <c r="O21" i="29"/>
  <c r="O7" i="1"/>
  <c r="O26" i="35"/>
  <c r="O6" i="1"/>
  <c r="O20" i="1"/>
  <c r="O3" i="1"/>
  <c r="O21" i="27"/>
  <c r="O21" i="1"/>
  <c r="O12" i="27"/>
  <c r="O4" i="1"/>
  <c r="O20" i="31"/>
  <c r="O8" i="1"/>
  <c r="O29" i="31"/>
  <c r="O25" i="1"/>
  <c r="O27" i="28"/>
  <c r="O22" i="1"/>
  <c r="O20" i="28"/>
  <c r="O5" i="1"/>
  <c r="O21" i="25"/>
  <c r="O2" i="1"/>
  <c r="O19" i="30"/>
  <c r="O32" i="1"/>
  <c r="O12" i="30"/>
  <c r="O15" i="1"/>
  <c r="P20" i="1"/>
  <c r="P3" i="1"/>
  <c r="P28" i="34"/>
  <c r="P30" i="1"/>
  <c r="P19" i="34"/>
  <c r="P13" i="1"/>
  <c r="P27" i="9"/>
  <c r="P20" i="28"/>
  <c r="P5" i="1"/>
  <c r="P27" i="28"/>
  <c r="P22" i="1"/>
  <c r="P21" i="25"/>
  <c r="P2" i="1"/>
  <c r="P15" i="32"/>
  <c r="P31" i="1"/>
  <c r="P8" i="32"/>
  <c r="P14" i="1"/>
  <c r="P8" i="33"/>
  <c r="P12" i="1"/>
  <c r="P17" i="33"/>
  <c r="P29" i="1"/>
  <c r="P26" i="35"/>
  <c r="P6" i="1"/>
  <c r="P12" i="27"/>
  <c r="P4" i="1"/>
  <c r="P21" i="29"/>
  <c r="P7" i="1"/>
  <c r="P20" i="31"/>
  <c r="P8" i="1"/>
  <c r="P18" i="36"/>
  <c r="P9" i="1"/>
  <c r="P12" i="30"/>
  <c r="P15" i="1"/>
  <c r="P29" i="31"/>
  <c r="P25" i="1"/>
  <c r="P14" i="38"/>
  <c r="P27" i="1"/>
  <c r="P26" i="29"/>
  <c r="P24" i="1"/>
  <c r="P21" i="27"/>
  <c r="P21" i="1"/>
  <c r="P25" i="36"/>
  <c r="P26" i="1"/>
  <c r="P19" i="30"/>
  <c r="P32" i="1"/>
  <c r="Q27" i="9"/>
  <c r="Q20" i="31"/>
  <c r="Q8" i="1"/>
  <c r="Q26" i="35"/>
  <c r="Q6" i="1"/>
  <c r="Q17" i="33"/>
  <c r="Q29" i="1"/>
  <c r="Q8" i="33"/>
  <c r="Q12" i="1"/>
  <c r="S14" i="38"/>
  <c r="S27" i="1"/>
  <c r="R14" i="38"/>
  <c r="R27" i="1"/>
  <c r="Q14" i="38"/>
  <c r="Q27" i="1"/>
  <c r="Q21" i="27"/>
  <c r="Q21" i="1"/>
  <c r="Q20" i="1"/>
  <c r="Q26" i="29"/>
  <c r="Q24" i="1"/>
  <c r="Q29" i="31"/>
  <c r="Q25" i="1"/>
  <c r="Q25" i="36"/>
  <c r="Q26" i="1"/>
  <c r="Q28" i="34"/>
  <c r="Q30" i="1"/>
  <c r="Q15" i="32"/>
  <c r="Q31" i="1"/>
  <c r="Q19" i="30"/>
  <c r="Q32" i="1"/>
  <c r="Q12" i="27"/>
  <c r="Q4" i="1"/>
  <c r="Q21" i="29"/>
  <c r="Q7" i="1"/>
  <c r="Q3" i="1"/>
  <c r="Q19" i="34"/>
  <c r="Q13" i="1"/>
  <c r="Q21" i="25"/>
  <c r="Q2" i="1"/>
  <c r="Q18" i="36"/>
  <c r="Q9" i="1"/>
  <c r="Q20" i="28"/>
  <c r="Q5" i="1"/>
  <c r="Q8" i="32"/>
  <c r="Q14" i="1"/>
  <c r="Q12" i="30"/>
  <c r="Q15" i="1"/>
  <c r="R17" i="34"/>
  <c r="R19" i="34"/>
  <c r="R13" i="1"/>
  <c r="U20" i="31"/>
  <c r="U8" i="1"/>
  <c r="R8" i="33"/>
  <c r="R12" i="1"/>
  <c r="S12" i="30"/>
  <c r="S15" i="1"/>
  <c r="R27" i="9"/>
  <c r="R26" i="35"/>
  <c r="R6" i="1"/>
  <c r="R10" i="26"/>
  <c r="R3" i="1"/>
  <c r="R20" i="26"/>
  <c r="R20" i="1"/>
  <c r="R17" i="33"/>
  <c r="R29" i="1"/>
  <c r="R28" i="34"/>
  <c r="R30" i="1"/>
  <c r="R21" i="25"/>
  <c r="R2" i="1"/>
  <c r="R19" i="30"/>
  <c r="R32" i="1"/>
  <c r="R12" i="30"/>
  <c r="R15" i="1"/>
  <c r="R20" i="28"/>
  <c r="R5" i="1"/>
  <c r="R21" i="29"/>
  <c r="R7" i="1"/>
  <c r="R26" i="29"/>
  <c r="R24" i="1"/>
  <c r="U21" i="27"/>
  <c r="U21" i="1"/>
  <c r="T21" i="27"/>
  <c r="T21" i="1"/>
  <c r="S21" i="27"/>
  <c r="S21" i="1"/>
  <c r="R21" i="27"/>
  <c r="R21" i="1"/>
  <c r="R29" i="31"/>
  <c r="R25" i="1"/>
  <c r="R25" i="36"/>
  <c r="R26" i="1"/>
  <c r="R15" i="32"/>
  <c r="R31" i="1"/>
  <c r="R12" i="27"/>
  <c r="R4" i="1"/>
  <c r="R20" i="31"/>
  <c r="R8" i="1"/>
  <c r="R18" i="36"/>
  <c r="R9" i="1"/>
  <c r="R8" i="32"/>
  <c r="R14" i="1"/>
  <c r="U25" i="36"/>
  <c r="U26" i="1"/>
  <c r="T25" i="36"/>
  <c r="T26" i="1"/>
  <c r="S25" i="36"/>
  <c r="S26" i="1"/>
  <c r="U18" i="36"/>
  <c r="U9" i="1"/>
  <c r="T18" i="36"/>
  <c r="T9" i="1"/>
  <c r="T21" i="25"/>
  <c r="T2" i="1"/>
  <c r="T10" i="26"/>
  <c r="T3" i="1"/>
  <c r="T12" i="27"/>
  <c r="T4" i="1"/>
  <c r="T20" i="28"/>
  <c r="T5" i="1"/>
  <c r="T21" i="29"/>
  <c r="T7" i="1"/>
  <c r="T20" i="31"/>
  <c r="T8" i="1"/>
  <c r="T8" i="33"/>
  <c r="T12" i="1"/>
  <c r="T19" i="34"/>
  <c r="T13" i="1"/>
  <c r="T8" i="32"/>
  <c r="T14" i="1"/>
  <c r="T12" i="30"/>
  <c r="T15" i="1"/>
  <c r="S18" i="36"/>
  <c r="S9" i="1"/>
  <c r="U28" i="34"/>
  <c r="U30" i="1"/>
  <c r="T28" i="34"/>
  <c r="T30" i="1"/>
  <c r="S28" i="34"/>
  <c r="S30" i="1"/>
  <c r="U19" i="34"/>
  <c r="U13" i="1"/>
  <c r="S19" i="34"/>
  <c r="S13" i="1"/>
  <c r="U17" i="33"/>
  <c r="U29" i="1"/>
  <c r="T17" i="33"/>
  <c r="T29" i="1"/>
  <c r="S17" i="33"/>
  <c r="S29" i="1"/>
  <c r="U8" i="33"/>
  <c r="U12" i="1"/>
  <c r="S8" i="33"/>
  <c r="S12" i="1"/>
  <c r="U15" i="32"/>
  <c r="U31" i="1"/>
  <c r="T15" i="32"/>
  <c r="T31" i="1"/>
  <c r="S15" i="32"/>
  <c r="S31" i="1"/>
  <c r="U8" i="32"/>
  <c r="U14" i="1"/>
  <c r="S8" i="32"/>
  <c r="S14" i="1"/>
  <c r="S29" i="31"/>
  <c r="S25" i="1"/>
  <c r="U29" i="31"/>
  <c r="U25" i="1"/>
  <c r="T29" i="31"/>
  <c r="T25" i="1"/>
  <c r="S20" i="31"/>
  <c r="S8" i="1"/>
  <c r="U20" i="26"/>
  <c r="U20" i="1"/>
  <c r="T20" i="26"/>
  <c r="T20" i="1"/>
  <c r="S20" i="26"/>
  <c r="S20" i="1"/>
  <c r="U21" i="29"/>
  <c r="U7" i="1"/>
  <c r="U12" i="30"/>
  <c r="U15" i="1"/>
  <c r="S19" i="30"/>
  <c r="S32" i="1"/>
  <c r="T19" i="30"/>
  <c r="T32" i="1"/>
  <c r="U26" i="29"/>
  <c r="U24" i="1"/>
  <c r="T26" i="29"/>
  <c r="T24" i="1"/>
  <c r="S26" i="29"/>
  <c r="S24" i="1"/>
  <c r="U26" i="28"/>
  <c r="S26" i="28"/>
  <c r="S43" i="2"/>
  <c r="U24" i="28"/>
  <c r="U27" i="28"/>
  <c r="U22" i="1"/>
  <c r="T24" i="28"/>
  <c r="T27" i="28"/>
  <c r="T22" i="1"/>
  <c r="S24" i="28"/>
  <c r="S27" i="28"/>
  <c r="S22" i="1"/>
  <c r="S39" i="2"/>
  <c r="U20" i="28"/>
  <c r="U5" i="1"/>
  <c r="U12" i="27"/>
  <c r="U4" i="1"/>
  <c r="S12" i="27"/>
  <c r="S4" i="1"/>
  <c r="U10" i="26"/>
  <c r="U3" i="1"/>
  <c r="S10" i="26"/>
  <c r="S3" i="1"/>
  <c r="U21" i="25"/>
  <c r="U2" i="1"/>
  <c r="S21" i="25"/>
  <c r="S2" i="1"/>
  <c r="S20" i="28"/>
  <c r="S5" i="1"/>
  <c r="S21" i="29"/>
  <c r="S7" i="1"/>
  <c r="S27" i="9"/>
  <c r="T27" i="9"/>
  <c r="U27" i="9"/>
  <c r="U19" i="30"/>
  <c r="U32" i="1"/>
  <c r="K39" i="2"/>
  <c r="K12" i="1"/>
  <c r="K22" i="1"/>
  <c r="J7" i="1"/>
  <c r="J32" i="1"/>
  <c r="K14" i="1"/>
  <c r="I8" i="1"/>
  <c r="J17" i="2"/>
  <c r="I5" i="1"/>
  <c r="J12" i="1"/>
  <c r="I17" i="2"/>
  <c r="I8" i="2"/>
  <c r="I14" i="1"/>
  <c r="I25" i="1"/>
  <c r="I20" i="1"/>
  <c r="I6" i="1"/>
  <c r="H6" i="1"/>
  <c r="H14" i="1"/>
  <c r="I43" i="2"/>
  <c r="I3" i="2"/>
  <c r="I29" i="1"/>
  <c r="I27" i="1"/>
  <c r="I9" i="1"/>
  <c r="I26" i="1"/>
  <c r="I3" i="1"/>
  <c r="I2" i="1"/>
  <c r="H23" i="1"/>
  <c r="H12" i="1"/>
  <c r="I14" i="2"/>
  <c r="F14" i="1"/>
  <c r="J31" i="2"/>
  <c r="F19" i="34"/>
  <c r="D19" i="34" s="1"/>
  <c r="R30" i="2"/>
  <c r="F31" i="2"/>
  <c r="D31" i="2" s="1"/>
  <c r="J4" i="2"/>
  <c r="G29" i="1"/>
  <c r="G26" i="1"/>
  <c r="G25" i="1"/>
  <c r="D20" i="31"/>
  <c r="G8" i="1"/>
  <c r="F25" i="1"/>
  <c r="K33" i="1"/>
  <c r="L33" i="1"/>
  <c r="P16" i="1"/>
  <c r="S44" i="2"/>
  <c r="T33" i="1"/>
  <c r="R33" i="1"/>
  <c r="P33" i="1"/>
  <c r="P44" i="2"/>
  <c r="L16" i="1"/>
  <c r="O33" i="1"/>
  <c r="Q16" i="1"/>
  <c r="G21" i="1"/>
  <c r="N32" i="2"/>
  <c r="N33" i="1"/>
  <c r="Q33" i="1"/>
  <c r="Q44" i="2"/>
  <c r="M33" i="1"/>
  <c r="I44" i="2"/>
  <c r="I33" i="1"/>
  <c r="M16" i="1"/>
  <c r="L44" i="2"/>
  <c r="K44" i="2"/>
  <c r="O44" i="2"/>
  <c r="J44" i="2"/>
  <c r="H33" i="1"/>
  <c r="G20" i="1"/>
  <c r="U33" i="1"/>
  <c r="K16" i="1"/>
  <c r="T16" i="1"/>
  <c r="O16" i="1"/>
  <c r="R44" i="2"/>
  <c r="G33" i="1"/>
  <c r="J33" i="1"/>
  <c r="H44" i="2"/>
  <c r="S33" i="1"/>
  <c r="H16" i="1"/>
  <c r="M44" i="2"/>
  <c r="P32" i="2"/>
  <c r="R16" i="1"/>
  <c r="N44" i="2"/>
  <c r="I16" i="1"/>
  <c r="M32" i="2"/>
  <c r="R32" i="2"/>
  <c r="Q32" i="2"/>
  <c r="U16" i="1"/>
  <c r="N16" i="1"/>
  <c r="K32" i="2"/>
  <c r="S16" i="1"/>
  <c r="G2" i="1"/>
  <c r="I32" i="2"/>
  <c r="J16" i="1"/>
  <c r="L32" i="2"/>
  <c r="O32" i="2"/>
  <c r="S32" i="2"/>
  <c r="H32" i="2"/>
  <c r="G44" i="2"/>
  <c r="G32" i="2"/>
  <c r="F27" i="9"/>
  <c r="B27" i="9" s="1"/>
  <c r="J32" i="2"/>
  <c r="F13" i="1"/>
  <c r="G16" i="1"/>
  <c r="D12" i="30" l="1"/>
  <c r="E33" i="1"/>
  <c r="C33" i="1" s="1"/>
  <c r="D32" i="1"/>
  <c r="B32" i="1"/>
  <c r="B19" i="30"/>
  <c r="D19" i="30"/>
  <c r="F15" i="1"/>
  <c r="B12" i="30"/>
  <c r="B21" i="1"/>
  <c r="F4" i="1"/>
  <c r="B29" i="1"/>
  <c r="B17" i="33"/>
  <c r="F12" i="1"/>
  <c r="B12" i="1" s="1"/>
  <c r="B8" i="33"/>
  <c r="B25" i="36"/>
  <c r="F9" i="1"/>
  <c r="D18" i="36"/>
  <c r="D27" i="9"/>
  <c r="D38" i="35"/>
  <c r="F23" i="1"/>
  <c r="F6" i="1"/>
  <c r="B6" i="1" s="1"/>
  <c r="B26" i="35"/>
  <c r="C8" i="32"/>
  <c r="F31" i="1"/>
  <c r="B15" i="32"/>
  <c r="B14" i="1"/>
  <c r="E7" i="1"/>
  <c r="B21" i="29"/>
  <c r="F7" i="1"/>
  <c r="F44" i="2"/>
  <c r="D44" i="2" s="1"/>
  <c r="D10" i="26"/>
  <c r="B3" i="1"/>
  <c r="C29" i="31"/>
  <c r="E44" i="2"/>
  <c r="B41" i="9"/>
  <c r="B19" i="28"/>
  <c r="E31" i="2"/>
  <c r="E16" i="1"/>
  <c r="C16" i="1" s="1"/>
  <c r="C20" i="28"/>
  <c r="D20" i="28"/>
  <c r="F32" i="2"/>
  <c r="D32" i="2" s="1"/>
  <c r="F5" i="1"/>
  <c r="B20" i="1"/>
  <c r="B7" i="1"/>
  <c r="B9" i="1"/>
  <c r="F8" i="1"/>
  <c r="B20" i="31"/>
  <c r="D15" i="1" l="1"/>
  <c r="B15" i="1"/>
  <c r="D4" i="1"/>
  <c r="B4" i="1"/>
  <c r="B23" i="1"/>
  <c r="B31" i="1"/>
  <c r="F33" i="1"/>
  <c r="D33" i="1" s="1"/>
  <c r="E32" i="2"/>
  <c r="B5" i="1"/>
  <c r="B8" i="1"/>
  <c r="F16" i="1"/>
  <c r="D16" i="1" s="1"/>
  <c r="B33" i="1" l="1"/>
  <c r="B16" i="1"/>
</calcChain>
</file>

<file path=xl/sharedStrings.xml><?xml version="1.0" encoding="utf-8"?>
<sst xmlns="http://schemas.openxmlformats.org/spreadsheetml/2006/main" count="528" uniqueCount="181">
  <si>
    <t>Belgium</t>
  </si>
  <si>
    <t>The Netherlands</t>
  </si>
  <si>
    <t>Elstar</t>
  </si>
  <si>
    <t>Golden Delicious</t>
  </si>
  <si>
    <t>Boskoop</t>
  </si>
  <si>
    <t>Cox Orange</t>
  </si>
  <si>
    <t>Other</t>
  </si>
  <si>
    <t>Conference</t>
  </si>
  <si>
    <t>Austria (Steiermark)</t>
  </si>
  <si>
    <t>Gala</t>
  </si>
  <si>
    <t>Idared</t>
  </si>
  <si>
    <t>Braeburn</t>
  </si>
  <si>
    <t>Fuji</t>
  </si>
  <si>
    <t>Pinova</t>
  </si>
  <si>
    <t>Gloster</t>
  </si>
  <si>
    <t>Holsteiner Cox</t>
  </si>
  <si>
    <t>Italy</t>
  </si>
  <si>
    <t>Granny Smith</t>
  </si>
  <si>
    <t>Morgendurf/imperat</t>
  </si>
  <si>
    <t>Red Delicious</t>
  </si>
  <si>
    <t>Annurca</t>
  </si>
  <si>
    <t>Stayman</t>
  </si>
  <si>
    <t>Pink Lady</t>
  </si>
  <si>
    <t>TOTAL</t>
  </si>
  <si>
    <t>Apple Stocks (Ton)</t>
  </si>
  <si>
    <t>Pear Stocks (Ton)</t>
  </si>
  <si>
    <t>Jonagored</t>
  </si>
  <si>
    <t>Jonagold</t>
  </si>
  <si>
    <t>Germany</t>
  </si>
  <si>
    <t>Cameo</t>
  </si>
  <si>
    <t>Kaiser</t>
  </si>
  <si>
    <t>Czech Republic</t>
  </si>
  <si>
    <t>Poland</t>
  </si>
  <si>
    <t>Cortland</t>
  </si>
  <si>
    <t>Lobo</t>
  </si>
  <si>
    <t>Spartan</t>
  </si>
  <si>
    <t>Bramley</t>
  </si>
  <si>
    <t>Spain (Catalonia)</t>
  </si>
  <si>
    <t>Alexandrina</t>
  </si>
  <si>
    <t>Blanquilla</t>
  </si>
  <si>
    <t>Denmark</t>
  </si>
  <si>
    <t>Anjou</t>
  </si>
  <si>
    <t>Bosc</t>
  </si>
  <si>
    <t>Red Anjou</t>
  </si>
  <si>
    <t>Comice</t>
  </si>
  <si>
    <t>Seckel</t>
  </si>
  <si>
    <t>Other Reds</t>
  </si>
  <si>
    <t>Northwest Bartletts (Williams)</t>
  </si>
  <si>
    <t>Other Winter Varities</t>
  </si>
  <si>
    <t>Empire</t>
  </si>
  <si>
    <t>Jonathan</t>
  </si>
  <si>
    <t>McIntosh</t>
  </si>
  <si>
    <t>Mutsu/Crispin</t>
  </si>
  <si>
    <t>Newtown Pippin</t>
  </si>
  <si>
    <t>Northern Spy</t>
  </si>
  <si>
    <t>Rome</t>
  </si>
  <si>
    <t>Rome Sport</t>
  </si>
  <si>
    <t>Winesap</t>
  </si>
  <si>
    <t>York</t>
  </si>
  <si>
    <t>Others</t>
  </si>
  <si>
    <t>Switzerland</t>
  </si>
  <si>
    <t>Cripps Pink</t>
  </si>
  <si>
    <t>Content:</t>
  </si>
  <si>
    <t>US situation</t>
  </si>
  <si>
    <t>European situation per country</t>
  </si>
  <si>
    <t xml:space="preserve">Sources: </t>
  </si>
  <si>
    <t>US:</t>
  </si>
  <si>
    <t>Washington Apple Commission, Pear Bureau Northwest</t>
  </si>
  <si>
    <t>Austria:</t>
  </si>
  <si>
    <t>Landeskammer für Land- und Forstwirtschaft Steiermark</t>
  </si>
  <si>
    <t>Belgium:</t>
  </si>
  <si>
    <t>VBT</t>
  </si>
  <si>
    <t>Czech Republic:</t>
  </si>
  <si>
    <t>SAPA</t>
  </si>
  <si>
    <t>France:</t>
  </si>
  <si>
    <t>Germany:</t>
  </si>
  <si>
    <t>Italy:</t>
  </si>
  <si>
    <t>ASSOMELA, CSO</t>
  </si>
  <si>
    <t>Poland:</t>
  </si>
  <si>
    <t>Switzerland:</t>
  </si>
  <si>
    <t>Spain:</t>
  </si>
  <si>
    <t>The Netherlands:</t>
  </si>
  <si>
    <t>United Kingdom:</t>
  </si>
  <si>
    <t>English Apples &amp; Pears</t>
  </si>
  <si>
    <t>SWISSCOFEL</t>
  </si>
  <si>
    <t>SOCIETY FOR PROMOTION OF DWARF FRUIT ORCHARDS</t>
  </si>
  <si>
    <t>Central Institute for Supervising and Testing in Agriculture, Division of perennial plants</t>
  </si>
  <si>
    <t>Other new varieties³</t>
  </si>
  <si>
    <t>Reinette Grise du Canada</t>
  </si>
  <si>
    <t>Shampion</t>
  </si>
  <si>
    <t>European situation per variety</t>
  </si>
  <si>
    <t>Variety (Ton)</t>
  </si>
  <si>
    <t>Total</t>
  </si>
  <si>
    <t>Doyenne du comice</t>
  </si>
  <si>
    <t>Arlet</t>
  </si>
  <si>
    <t>Kronprinz Rudolf</t>
  </si>
  <si>
    <t>Topaz</t>
  </si>
  <si>
    <t>Bellida</t>
  </si>
  <si>
    <t>Pigoen</t>
  </si>
  <si>
    <t>Ingrid Marie</t>
  </si>
  <si>
    <t>Doyenne</t>
  </si>
  <si>
    <t>Cox</t>
  </si>
  <si>
    <t>Gloster*</t>
  </si>
  <si>
    <t>* From 2007 Gloster is included in others</t>
  </si>
  <si>
    <t>Abate Fetel</t>
  </si>
  <si>
    <t>Decana del C.</t>
  </si>
  <si>
    <t>Morgenduft</t>
  </si>
  <si>
    <t>Renette</t>
  </si>
  <si>
    <t>Jonagold (incl. Jonagored)</t>
  </si>
  <si>
    <t>Fuji Group</t>
  </si>
  <si>
    <t>Gala Group</t>
  </si>
  <si>
    <t>Golden Group</t>
  </si>
  <si>
    <t>Llimonera</t>
  </si>
  <si>
    <t>Glockenapfel</t>
  </si>
  <si>
    <t>Kanada Reinette</t>
  </si>
  <si>
    <t>Maigold</t>
  </si>
  <si>
    <t>Rubinette</t>
  </si>
  <si>
    <t>Boscs Flaschenbirne</t>
  </si>
  <si>
    <t>Gute Luise</t>
  </si>
  <si>
    <t>European countries by variety</t>
  </si>
  <si>
    <t>Reine de renettes</t>
  </si>
  <si>
    <t>Ariane</t>
  </si>
  <si>
    <t>Pear Stocks  (Ton)</t>
  </si>
  <si>
    <t>Reinette</t>
  </si>
  <si>
    <t>Other new varieties*</t>
  </si>
  <si>
    <t>Tentation</t>
  </si>
  <si>
    <t>Belchard/Chantecler</t>
  </si>
  <si>
    <t>Rouges</t>
  </si>
  <si>
    <t>Jazz</t>
  </si>
  <si>
    <t>Honey Crunch</t>
  </si>
  <si>
    <t>Sundowner</t>
  </si>
  <si>
    <t>AMI</t>
  </si>
  <si>
    <t>ANPP</t>
  </si>
  <si>
    <t>France</t>
  </si>
  <si>
    <t>Red Jonaprince</t>
  </si>
  <si>
    <t>Other new varieties</t>
  </si>
  <si>
    <t>Denmark:</t>
  </si>
  <si>
    <t>Goldrush</t>
  </si>
  <si>
    <t>Angelys</t>
  </si>
  <si>
    <t>Beurré Hardy</t>
  </si>
  <si>
    <t>Guyot</t>
  </si>
  <si>
    <t>Passe Crassane</t>
  </si>
  <si>
    <t>Williams</t>
  </si>
  <si>
    <t>Club varieties</t>
  </si>
  <si>
    <t>MARCH</t>
  </si>
  <si>
    <t xml:space="preserve">* Other new varieties: Ariane, Belgica, Cameo, Diwa, Greenstar, Goldrush, Honey Crunch, Jazz, Junami, Kanzi, Mairac, Rubens, Tentation (temptation), Wellant, ... </t>
  </si>
  <si>
    <t>Golden Delicius</t>
  </si>
  <si>
    <t>Rocha</t>
  </si>
  <si>
    <t>Portugal</t>
  </si>
  <si>
    <t>Choupette</t>
  </si>
  <si>
    <t>ANP - Associação Nacional de Produtores de Pera Rocha</t>
  </si>
  <si>
    <t>Portugal:</t>
  </si>
  <si>
    <t>Evelina</t>
  </si>
  <si>
    <t>Concorde</t>
  </si>
  <si>
    <t>Doyenne du Comice</t>
  </si>
  <si>
    <t>Bohemica</t>
  </si>
  <si>
    <t>Lucasova</t>
  </si>
  <si>
    <t>Ligol</t>
  </si>
  <si>
    <t>AFRUCAT</t>
  </si>
  <si>
    <t>Honeycrisp</t>
  </si>
  <si>
    <t>** From 12/2014 Cox's is included in others</t>
  </si>
  <si>
    <t>* Rocha stocks are compared per two months, in this case to stocks of 1 January</t>
  </si>
  <si>
    <t>* Portugal: Rocha stocks are compared per two months, in this case to stocks of 1 January</t>
  </si>
  <si>
    <t>Durondeau</t>
  </si>
  <si>
    <t>Wiliams</t>
  </si>
  <si>
    <t>Forelle</t>
  </si>
  <si>
    <t>* As of 2017, the UK works with a different methodology, which is why the figures are not comparable.</t>
  </si>
  <si>
    <t>United Kingdom**</t>
  </si>
  <si>
    <t>Portugal*</t>
  </si>
  <si>
    <t>** As of the 2016/ 2017 season, the UK works with a different methodology, which is why the figures are not comparable.</t>
  </si>
  <si>
    <t>Cosmic Crisp</t>
  </si>
  <si>
    <t>Please note that this is just an indication. There might be a difference of  +- 10%</t>
  </si>
  <si>
    <t>A significant part of apples are sold to the industry</t>
  </si>
  <si>
    <t>Moved 2022</t>
  </si>
  <si>
    <t>Beurre Alexander Lucas**</t>
  </si>
  <si>
    <t>Slovakia</t>
  </si>
  <si>
    <t>%2023/2022</t>
  </si>
  <si>
    <t>Moved 2023</t>
  </si>
  <si>
    <t>Overview Northern Hemisphere apple and pear stocks 2022-2023</t>
  </si>
  <si>
    <t>*** Starting from the 2022-2023 season, Italian pears work with a different methodology, which is why the figures are not comparable with previous years.</t>
  </si>
  <si>
    <t>Italy***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</si>
</sst>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%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14" fillId="4" borderId="0" applyNumberFormat="0" applyBorder="0" applyAlignment="0" applyProtection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3" fillId="0" borderId="0"/>
    <xf numFmtId="0" fontId="4" fillId="0" borderId="0"/>
    <xf numFmtId="0" fontId="4" fillId="0" borderId="0"/>
    <xf numFmtId="9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5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4" fillId="0" borderId="0" xfId="0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/>
    <xf numFmtId="14" fontId="2" fillId="0" borderId="0" xfId="0" applyNumberFormat="1" applyFon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0" fontId="0" fillId="0" borderId="0" xfId="0" quotePrefix="1"/>
    <xf numFmtId="0" fontId="9" fillId="0" borderId="0" xfId="0" applyFont="1"/>
    <xf numFmtId="0" fontId="0" fillId="2" borderId="2" xfId="0" applyFill="1" applyBorder="1"/>
    <xf numFmtId="0" fontId="0" fillId="2" borderId="2" xfId="0" quotePrefix="1" applyFill="1" applyBorder="1"/>
    <xf numFmtId="0" fontId="0" fillId="2" borderId="3" xfId="0" quotePrefix="1" applyFill="1" applyBorder="1"/>
    <xf numFmtId="0" fontId="2" fillId="2" borderId="4" xfId="0" applyFont="1" applyFill="1" applyBorder="1"/>
    <xf numFmtId="0" fontId="2" fillId="3" borderId="5" xfId="0" applyFont="1" applyFill="1" applyBorder="1"/>
    <xf numFmtId="14" fontId="2" fillId="0" borderId="5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65" fontId="0" fillId="3" borderId="0" xfId="0" applyNumberFormat="1" applyFill="1"/>
    <xf numFmtId="165" fontId="0" fillId="3" borderId="1" xfId="0" applyNumberFormat="1" applyFill="1" applyBorder="1"/>
    <xf numFmtId="3" fontId="0" fillId="0" borderId="7" xfId="0" applyNumberFormat="1" applyBorder="1"/>
    <xf numFmtId="0" fontId="0" fillId="2" borderId="3" xfId="0" applyFill="1" applyBorder="1"/>
    <xf numFmtId="3" fontId="0" fillId="0" borderId="8" xfId="0" applyNumberFormat="1" applyBorder="1"/>
    <xf numFmtId="0" fontId="2" fillId="2" borderId="3" xfId="0" applyFont="1" applyFill="1" applyBorder="1"/>
    <xf numFmtId="165" fontId="2" fillId="3" borderId="1" xfId="0" applyNumberFormat="1" applyFont="1" applyFill="1" applyBorder="1"/>
    <xf numFmtId="3" fontId="2" fillId="0" borderId="1" xfId="0" applyNumberFormat="1" applyFont="1" applyBorder="1"/>
    <xf numFmtId="3" fontId="2" fillId="0" borderId="8" xfId="0" applyNumberFormat="1" applyFont="1" applyBorder="1"/>
    <xf numFmtId="165" fontId="0" fillId="0" borderId="0" xfId="0" applyNumberFormat="1"/>
    <xf numFmtId="3" fontId="4" fillId="0" borderId="1" xfId="0" applyNumberFormat="1" applyFont="1" applyBorder="1"/>
    <xf numFmtId="3" fontId="4" fillId="0" borderId="0" xfId="0" applyNumberFormat="1" applyFont="1"/>
    <xf numFmtId="0" fontId="2" fillId="5" borderId="4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2" fillId="5" borderId="3" xfId="0" applyFont="1" applyFill="1" applyBorder="1"/>
    <xf numFmtId="3" fontId="4" fillId="6" borderId="0" xfId="0" applyNumberFormat="1" applyFont="1" applyFill="1"/>
    <xf numFmtId="3" fontId="4" fillId="6" borderId="1" xfId="0" applyNumberFormat="1" applyFont="1" applyFill="1" applyBorder="1"/>
    <xf numFmtId="3" fontId="2" fillId="6" borderId="5" xfId="0" applyNumberFormat="1" applyFont="1" applyFill="1" applyBorder="1"/>
    <xf numFmtId="3" fontId="2" fillId="0" borderId="5" xfId="0" applyNumberFormat="1" applyFont="1" applyBorder="1"/>
    <xf numFmtId="165" fontId="4" fillId="7" borderId="0" xfId="0" applyNumberFormat="1" applyFont="1" applyFill="1"/>
    <xf numFmtId="165" fontId="4" fillId="7" borderId="1" xfId="0" applyNumberFormat="1" applyFont="1" applyFill="1" applyBorder="1"/>
    <xf numFmtId="0" fontId="2" fillId="8" borderId="5" xfId="0" applyFont="1" applyFill="1" applyBorder="1"/>
    <xf numFmtId="3" fontId="0" fillId="8" borderId="0" xfId="0" applyNumberFormat="1" applyFill="1"/>
    <xf numFmtId="3" fontId="0" fillId="8" borderId="1" xfId="0" applyNumberFormat="1" applyFill="1" applyBorder="1"/>
    <xf numFmtId="0" fontId="4" fillId="0" borderId="0" xfId="4"/>
    <xf numFmtId="0" fontId="2" fillId="5" borderId="4" xfId="4" applyFont="1" applyFill="1" applyBorder="1"/>
    <xf numFmtId="0" fontId="4" fillId="5" borderId="2" xfId="4" applyFill="1" applyBorder="1"/>
    <xf numFmtId="165" fontId="4" fillId="7" borderId="0" xfId="4" applyNumberFormat="1" applyFill="1"/>
    <xf numFmtId="3" fontId="4" fillId="6" borderId="0" xfId="4" applyNumberFormat="1" applyFill="1"/>
    <xf numFmtId="3" fontId="4" fillId="0" borderId="0" xfId="4" applyNumberFormat="1"/>
    <xf numFmtId="0" fontId="4" fillId="5" borderId="3" xfId="4" applyFill="1" applyBorder="1"/>
    <xf numFmtId="3" fontId="4" fillId="6" borderId="1" xfId="4" applyNumberFormat="1" applyFill="1" applyBorder="1"/>
    <xf numFmtId="3" fontId="4" fillId="0" borderId="1" xfId="4" applyNumberFormat="1" applyBorder="1"/>
    <xf numFmtId="0" fontId="2" fillId="5" borderId="3" xfId="4" applyFont="1" applyFill="1" applyBorder="1"/>
    <xf numFmtId="165" fontId="2" fillId="7" borderId="5" xfId="4" applyNumberFormat="1" applyFont="1" applyFill="1" applyBorder="1"/>
    <xf numFmtId="3" fontId="2" fillId="6" borderId="5" xfId="4" applyNumberFormat="1" applyFont="1" applyFill="1" applyBorder="1"/>
    <xf numFmtId="3" fontId="4" fillId="0" borderId="5" xfId="4" applyNumberForma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3" fontId="4" fillId="0" borderId="7" xfId="4" applyNumberFormat="1" applyBorder="1"/>
    <xf numFmtId="3" fontId="4" fillId="0" borderId="8" xfId="4" applyNumberFormat="1" applyBorder="1"/>
    <xf numFmtId="3" fontId="4" fillId="0" borderId="6" xfId="4" applyNumberFormat="1" applyBorder="1"/>
    <xf numFmtId="3" fontId="2" fillId="8" borderId="5" xfId="0" applyNumberFormat="1" applyFont="1" applyFill="1" applyBorder="1"/>
    <xf numFmtId="0" fontId="15" fillId="0" borderId="0" xfId="0" applyFont="1"/>
    <xf numFmtId="3" fontId="4" fillId="6" borderId="0" xfId="0" applyNumberFormat="1" applyFont="1" applyFill="1" applyAlignment="1">
      <alignment horizontal="right"/>
    </xf>
    <xf numFmtId="3" fontId="14" fillId="4" borderId="7" xfId="1" applyNumberFormat="1" applyBorder="1"/>
    <xf numFmtId="0" fontId="2" fillId="0" borderId="0" xfId="4" applyFont="1"/>
    <xf numFmtId="165" fontId="2" fillId="7" borderId="1" xfId="0" applyNumberFormat="1" applyFont="1" applyFill="1" applyBorder="1"/>
    <xf numFmtId="3" fontId="0" fillId="0" borderId="0" xfId="0" quotePrefix="1" applyNumberFormat="1"/>
    <xf numFmtId="3" fontId="0" fillId="0" borderId="1" xfId="0" quotePrefix="1" applyNumberFormat="1" applyBorder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2" fillId="0" borderId="5" xfId="4" applyNumberFormat="1" applyFont="1" applyBorder="1"/>
    <xf numFmtId="3" fontId="2" fillId="0" borderId="6" xfId="4" applyNumberFormat="1" applyFont="1" applyBorder="1"/>
    <xf numFmtId="3" fontId="0" fillId="0" borderId="0" xfId="0" applyNumberFormat="1" applyAlignment="1">
      <alignment horizontal="right"/>
    </xf>
    <xf numFmtId="3" fontId="0" fillId="0" borderId="1" xfId="0" applyNumberForma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165" fontId="4" fillId="7" borderId="5" xfId="4" applyNumberFormat="1" applyFill="1" applyBorder="1"/>
    <xf numFmtId="3" fontId="2" fillId="0" borderId="6" xfId="0" applyNumberFormat="1" applyFont="1" applyBorder="1"/>
    <xf numFmtId="0" fontId="4" fillId="5" borderId="9" xfId="4" applyFill="1" applyBorder="1"/>
    <xf numFmtId="3" fontId="4" fillId="0" borderId="10" xfId="4" applyNumberFormat="1" applyBorder="1"/>
    <xf numFmtId="3" fontId="4" fillId="0" borderId="11" xfId="4" applyNumberFormat="1" applyBorder="1"/>
    <xf numFmtId="3" fontId="14" fillId="4" borderId="0" xfId="1" applyNumberFormat="1"/>
    <xf numFmtId="3" fontId="4" fillId="0" borderId="7" xfId="0" applyNumberFormat="1" applyFont="1" applyBorder="1" applyAlignment="1">
      <alignment horizontal="right"/>
    </xf>
    <xf numFmtId="14" fontId="2" fillId="0" borderId="5" xfId="4" applyNumberFormat="1" applyFont="1" applyBorder="1" applyAlignment="1">
      <alignment horizontal="center"/>
    </xf>
    <xf numFmtId="14" fontId="2" fillId="0" borderId="6" xfId="4" applyNumberFormat="1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quotePrefix="1" applyNumberFormat="1" applyFont="1"/>
    <xf numFmtId="3" fontId="4" fillId="0" borderId="1" xfId="0" quotePrefix="1" applyNumberFormat="1" applyFont="1" applyBorder="1"/>
    <xf numFmtId="165" fontId="0" fillId="3" borderId="0" xfId="0" applyNumberFormat="1" applyFill="1" applyAlignment="1">
      <alignment horizontal="right"/>
    </xf>
    <xf numFmtId="3" fontId="4" fillId="0" borderId="0" xfId="6" applyNumberFormat="1"/>
    <xf numFmtId="3" fontId="4" fillId="0" borderId="1" xfId="6" applyNumberFormat="1" applyBorder="1"/>
    <xf numFmtId="3" fontId="2" fillId="0" borderId="1" xfId="6" applyNumberFormat="1" applyFont="1" applyBorder="1"/>
    <xf numFmtId="165" fontId="4" fillId="7" borderId="0" xfId="0" applyNumberFormat="1" applyFont="1" applyFill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165" fontId="4" fillId="7" borderId="0" xfId="4" applyNumberFormat="1" applyFill="1" applyAlignment="1">
      <alignment horizontal="right"/>
    </xf>
    <xf numFmtId="0" fontId="8" fillId="0" borderId="0" xfId="3" applyAlignment="1" applyProtection="1"/>
    <xf numFmtId="3" fontId="4" fillId="0" borderId="0" xfId="4" applyNumberFormat="1" applyAlignment="1">
      <alignment horizontal="right"/>
    </xf>
    <xf numFmtId="9" fontId="0" fillId="0" borderId="0" xfId="0" applyNumberFormat="1"/>
    <xf numFmtId="165" fontId="2" fillId="3" borderId="5" xfId="0" applyNumberFormat="1" applyFont="1" applyFill="1" applyBorder="1"/>
    <xf numFmtId="3" fontId="16" fillId="0" borderId="0" xfId="1" applyNumberFormat="1" applyFont="1" applyFill="1"/>
    <xf numFmtId="3" fontId="16" fillId="0" borderId="7" xfId="1" applyNumberFormat="1" applyFont="1" applyFill="1" applyBorder="1"/>
    <xf numFmtId="3" fontId="0" fillId="6" borderId="0" xfId="0" applyNumberFormat="1" applyFill="1"/>
    <xf numFmtId="14" fontId="2" fillId="6" borderId="5" xfId="0" applyNumberFormat="1" applyFont="1" applyFill="1" applyBorder="1" applyAlignment="1">
      <alignment horizontal="center"/>
    </xf>
    <xf numFmtId="3" fontId="0" fillId="6" borderId="1" xfId="0" applyNumberFormat="1" applyFill="1" applyBorder="1"/>
    <xf numFmtId="3" fontId="2" fillId="6" borderId="1" xfId="0" applyNumberFormat="1" applyFont="1" applyFill="1" applyBorder="1"/>
    <xf numFmtId="3" fontId="0" fillId="0" borderId="1" xfId="0" quotePrefix="1" applyNumberFormat="1" applyBorder="1" applyAlignment="1">
      <alignment horizontal="right"/>
    </xf>
    <xf numFmtId="3" fontId="0" fillId="6" borderId="0" xfId="0" applyNumberFormat="1" applyFill="1" applyAlignment="1">
      <alignment horizontal="right"/>
    </xf>
    <xf numFmtId="3" fontId="0" fillId="6" borderId="1" xfId="0" applyNumberFormat="1" applyFill="1" applyBorder="1" applyAlignment="1">
      <alignment horizontal="right"/>
    </xf>
    <xf numFmtId="3" fontId="2" fillId="6" borderId="1" xfId="0" applyNumberFormat="1" applyFont="1" applyFill="1" applyBorder="1" applyAlignment="1">
      <alignment horizontal="right"/>
    </xf>
    <xf numFmtId="3" fontId="0" fillId="0" borderId="0" xfId="0" quotePrefix="1" applyNumberFormat="1" applyAlignment="1">
      <alignment horizontal="right"/>
    </xf>
    <xf numFmtId="14" fontId="2" fillId="0" borderId="5" xfId="0" applyNumberFormat="1" applyFont="1" applyBorder="1"/>
    <xf numFmtId="165" fontId="4" fillId="8" borderId="1" xfId="0" applyNumberFormat="1" applyFont="1" applyFill="1" applyBorder="1"/>
    <xf numFmtId="165" fontId="2" fillId="8" borderId="1" xfId="0" applyNumberFormat="1" applyFont="1" applyFill="1" applyBorder="1"/>
    <xf numFmtId="165" fontId="4" fillId="8" borderId="0" xfId="0" applyNumberFormat="1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3" fontId="4" fillId="8" borderId="0" xfId="0" applyNumberFormat="1" applyFont="1" applyFill="1"/>
    <xf numFmtId="3" fontId="4" fillId="8" borderId="1" xfId="0" applyNumberFormat="1" applyFont="1" applyFill="1" applyBorder="1"/>
    <xf numFmtId="3" fontId="4" fillId="8" borderId="5" xfId="0" applyNumberFormat="1" applyFont="1" applyFill="1" applyBorder="1"/>
    <xf numFmtId="3" fontId="0" fillId="8" borderId="0" xfId="0" applyNumberFormat="1" applyFill="1" applyAlignment="1">
      <alignment horizontal="right"/>
    </xf>
    <xf numFmtId="3" fontId="0" fillId="8" borderId="1" xfId="0" applyNumberFormat="1" applyFill="1" applyBorder="1" applyAlignment="1">
      <alignment horizontal="right"/>
    </xf>
    <xf numFmtId="3" fontId="4" fillId="8" borderId="5" xfId="4" applyNumberFormat="1" applyFill="1" applyBorder="1"/>
    <xf numFmtId="3" fontId="2" fillId="8" borderId="5" xfId="0" applyNumberFormat="1" applyFont="1" applyFill="1" applyBorder="1" applyAlignment="1">
      <alignment horizontal="right"/>
    </xf>
    <xf numFmtId="3" fontId="2" fillId="8" borderId="5" xfId="4" applyNumberFormat="1" applyFont="1" applyFill="1" applyBorder="1"/>
    <xf numFmtId="3" fontId="0" fillId="8" borderId="10" xfId="0" applyNumberFormat="1" applyFill="1" applyBorder="1"/>
    <xf numFmtId="165" fontId="2" fillId="7" borderId="5" xfId="0" applyNumberFormat="1" applyFont="1" applyFill="1" applyBorder="1" applyAlignment="1">
      <alignment horizontal="right"/>
    </xf>
    <xf numFmtId="3" fontId="4" fillId="9" borderId="0" xfId="0" applyNumberFormat="1" applyFont="1" applyFill="1"/>
    <xf numFmtId="3" fontId="4" fillId="9" borderId="1" xfId="0" applyNumberFormat="1" applyFont="1" applyFill="1" applyBorder="1"/>
    <xf numFmtId="3" fontId="2" fillId="9" borderId="5" xfId="0" applyNumberFormat="1" applyFont="1" applyFill="1" applyBorder="1"/>
    <xf numFmtId="165" fontId="0" fillId="3" borderId="5" xfId="0" applyNumberFormat="1" applyFill="1" applyBorder="1"/>
    <xf numFmtId="165" fontId="2" fillId="7" borderId="5" xfId="0" applyNumberFormat="1" applyFont="1" applyFill="1" applyBorder="1"/>
    <xf numFmtId="165" fontId="2" fillId="7" borderId="5" xfId="4" applyNumberFormat="1" applyFont="1" applyFill="1" applyBorder="1" applyAlignment="1">
      <alignment horizontal="right"/>
    </xf>
    <xf numFmtId="14" fontId="4" fillId="0" borderId="0" xfId="0" applyNumberFormat="1" applyFont="1"/>
    <xf numFmtId="3" fontId="2" fillId="6" borderId="1" xfId="4" applyNumberFormat="1" applyFont="1" applyFill="1" applyBorder="1"/>
    <xf numFmtId="3" fontId="2" fillId="0" borderId="1" xfId="4" applyNumberFormat="1" applyFont="1" applyBorder="1"/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</cellXfs>
  <cellStyles count="12">
    <cellStyle name="Bad" xfId="1" builtinId="27"/>
    <cellStyle name="Comma 2" xfId="2" xr:uid="{00000000-0005-0000-0000-000001000000}"/>
    <cellStyle name="Comma 2 2" xfId="9" xr:uid="{DBA321F6-D84D-4F76-9018-012CBD727743}"/>
    <cellStyle name="Hyperlink" xfId="3" builtinId="8"/>
    <cellStyle name="Normal" xfId="0" builtinId="0"/>
    <cellStyle name="Normal 2" xfId="4" xr:uid="{00000000-0005-0000-0000-000004000000}"/>
    <cellStyle name="Normal 3" xfId="5" xr:uid="{00000000-0005-0000-0000-000005000000}"/>
    <cellStyle name="Normal 3 2" xfId="10" xr:uid="{B1E1EA6F-CD4F-460C-BEA1-1F4664A94E8E}"/>
    <cellStyle name="Normale 2" xfId="6" xr:uid="{00000000-0005-0000-0000-000006000000}"/>
    <cellStyle name="Normale_4_uesto_pere" xfId="7" xr:uid="{00000000-0005-0000-0000-000007000000}"/>
    <cellStyle name="Percent 2" xfId="8" xr:uid="{00000000-0005-0000-0000-000008000000}"/>
    <cellStyle name="Percent 2 2" xfId="11" xr:uid="{B1D3FA21-7EAC-44C9-813D-30F36874D41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:/WINDOWS/Temporary%20Internet%20Files/Content.IE5/5WGFLPOD/wapa.jp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0</xdr:row>
      <xdr:rowOff>152400</xdr:rowOff>
    </xdr:from>
    <xdr:to>
      <xdr:col>4</xdr:col>
      <xdr:colOff>251460</xdr:colOff>
      <xdr:row>16</xdr:row>
      <xdr:rowOff>60960</xdr:rowOff>
    </xdr:to>
    <xdr:pic>
      <xdr:nvPicPr>
        <xdr:cNvPr id="21915" name="Picture 294" descr="The image “file:///C:/WINDOWS/Temporary%20Internet%20Files/Content.IE5/5WGFLPOD/wapa.jpg” cannot be displayed, because it contains errors.">
          <a:extLst>
            <a:ext uri="{FF2B5EF4-FFF2-40B4-BE49-F238E27FC236}">
              <a16:creationId xmlns:a16="http://schemas.microsoft.com/office/drawing/2014/main" id="{12995C7E-26B3-44F4-A7B3-FE228EAFD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152400"/>
          <a:ext cx="2689860" cy="2590800"/>
        </a:xfrm>
        <a:prstGeom prst="rect">
          <a:avLst/>
        </a:prstGeom>
        <a:noFill/>
        <a:ln w="15875">
          <a:solidFill>
            <a:srgbClr val="0099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eshfel365.sharepoint.com/sites/common1/Shared%20Documents/NEW%20SYSTEM/WAPA/Stocks/WAPA%20Stocks/Stocks%20NH%20February.xlsx" TargetMode="External"/><Relationship Id="rId1" Type="http://schemas.openxmlformats.org/officeDocument/2006/relationships/externalLinkPath" Target="Stocks%20NH%20February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eshfel365.sharepoint.com/sites/common1/Shared%20Documents/NEW%20SYSTEM/WAPA/Stocks/WAPA%20Stocks/Stocks%20NH%20January.xlsx" TargetMode="External"/><Relationship Id="rId1" Type="http://schemas.openxmlformats.org/officeDocument/2006/relationships/externalLinkPath" Target="Stocks%20NH%20Janu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US"/>
      <sheetName val="Europe - country"/>
      <sheetName val="Europe - variety"/>
      <sheetName val="Austria"/>
      <sheetName val="Belgium"/>
      <sheetName val="Czech Republic"/>
      <sheetName val="Denmark"/>
      <sheetName val="France"/>
      <sheetName val="Germany"/>
      <sheetName val="Italy"/>
      <sheetName val="Poland"/>
      <sheetName val="Portugal"/>
      <sheetName val="Spain"/>
      <sheetName val="Switzerland"/>
      <sheetName val="Netherlands"/>
      <sheetName val="UK"/>
    </sheetNames>
    <sheetDataSet>
      <sheetData sheetId="0"/>
      <sheetData sheetId="1">
        <row r="2">
          <cell r="E2">
            <v>2749.1562228977132</v>
          </cell>
          <cell r="F2">
            <v>1804.8041241004375</v>
          </cell>
        </row>
        <row r="3">
          <cell r="E3">
            <v>2732.4867033002229</v>
          </cell>
          <cell r="F3">
            <v>2154.7497303705036</v>
          </cell>
        </row>
        <row r="4">
          <cell r="E4">
            <v>89451.328334150458</v>
          </cell>
          <cell r="F4">
            <v>55583.989198645533</v>
          </cell>
        </row>
        <row r="5">
          <cell r="E5">
            <v>14358.495502253705</v>
          </cell>
          <cell r="F5">
            <v>11859.591632993293</v>
          </cell>
        </row>
        <row r="6">
          <cell r="E6">
            <v>164516.21352576205</v>
          </cell>
          <cell r="F6">
            <v>173778.92261602078</v>
          </cell>
        </row>
        <row r="7">
          <cell r="E7">
            <v>288567.38731373008</v>
          </cell>
          <cell r="F7">
            <v>262700.84605863446</v>
          </cell>
        </row>
        <row r="8">
          <cell r="E8">
            <v>55645.333030764297</v>
          </cell>
          <cell r="F8">
            <v>67030.291050898304</v>
          </cell>
        </row>
        <row r="9">
          <cell r="E9">
            <v>146190.62002073959</v>
          </cell>
          <cell r="F9">
            <v>210498.84519944602</v>
          </cell>
        </row>
        <row r="10">
          <cell r="E10">
            <v>125567.73810462838</v>
          </cell>
          <cell r="F10">
            <v>150498.70971639463</v>
          </cell>
        </row>
        <row r="11">
          <cell r="E11">
            <v>2100.7214359950935</v>
          </cell>
          <cell r="F11">
            <v>1043.0166039348808</v>
          </cell>
        </row>
        <row r="12">
          <cell r="E12"/>
          <cell r="F12"/>
        </row>
        <row r="13">
          <cell r="E13">
            <v>1167.4569490900917</v>
          </cell>
          <cell r="F13">
            <v>834.59998176739657</v>
          </cell>
        </row>
        <row r="14">
          <cell r="E14">
            <v>14520.618487139016</v>
          </cell>
          <cell r="F14">
            <v>18356.398777238646</v>
          </cell>
        </row>
        <row r="15">
          <cell r="E15">
            <v>848.35471679526893</v>
          </cell>
          <cell r="F15">
            <v>579.79446792003807</v>
          </cell>
        </row>
        <row r="16">
          <cell r="E16">
            <v>649.59689055455931</v>
          </cell>
          <cell r="F16">
            <v>678.97334680522295</v>
          </cell>
        </row>
        <row r="17">
          <cell r="E17"/>
          <cell r="F17"/>
        </row>
        <row r="18">
          <cell r="E18">
            <v>95825.104898326565</v>
          </cell>
          <cell r="F18">
            <v>116272.43295947675</v>
          </cell>
        </row>
        <row r="19">
          <cell r="E19">
            <v>217114.14881443011</v>
          </cell>
          <cell r="F19">
            <v>263357.98709748685</v>
          </cell>
        </row>
        <row r="20">
          <cell r="E20">
            <v>3508.9815024706513</v>
          </cell>
          <cell r="F20">
            <v>2766.3782180018638</v>
          </cell>
        </row>
        <row r="21">
          <cell r="E21">
            <v>610.54258749758094</v>
          </cell>
          <cell r="F21">
            <v>273.24676524206825</v>
          </cell>
        </row>
        <row r="22">
          <cell r="E22">
            <v>2471.0895851320274</v>
          </cell>
          <cell r="F22">
            <v>2266.826054704261</v>
          </cell>
        </row>
        <row r="23">
          <cell r="E23">
            <v>221.10450794111722</v>
          </cell>
          <cell r="F23">
            <v>197.46236643199035</v>
          </cell>
        </row>
        <row r="24">
          <cell r="E24"/>
          <cell r="F24"/>
        </row>
        <row r="25">
          <cell r="E25">
            <v>629.99353550791022</v>
          </cell>
          <cell r="F25">
            <v>705.18735705224844</v>
          </cell>
        </row>
        <row r="26">
          <cell r="E26">
            <v>140690.42116831598</v>
          </cell>
          <cell r="F26">
            <v>134518.769089295</v>
          </cell>
        </row>
        <row r="27">
          <cell r="E27">
            <v>1370136.8938374221</v>
          </cell>
          <cell r="F27">
            <v>1477761.8224128613</v>
          </cell>
        </row>
        <row r="31">
          <cell r="E31">
            <v>95684</v>
          </cell>
          <cell r="F31">
            <v>94190</v>
          </cell>
        </row>
        <row r="32">
          <cell r="E32">
            <v>13813</v>
          </cell>
          <cell r="F32">
            <v>19027</v>
          </cell>
        </row>
        <row r="33">
          <cell r="E33">
            <v>10424</v>
          </cell>
          <cell r="F33">
            <v>10913</v>
          </cell>
        </row>
        <row r="34">
          <cell r="E34">
            <v>39</v>
          </cell>
          <cell r="F34">
            <v>84</v>
          </cell>
        </row>
        <row r="35">
          <cell r="E35">
            <v>7</v>
          </cell>
          <cell r="F35">
            <v>16</v>
          </cell>
        </row>
        <row r="36">
          <cell r="E36">
            <v>6</v>
          </cell>
          <cell r="F36">
            <v>28</v>
          </cell>
        </row>
        <row r="37">
          <cell r="E37">
            <v>69</v>
          </cell>
          <cell r="F37">
            <v>300</v>
          </cell>
        </row>
        <row r="38">
          <cell r="E38"/>
          <cell r="F38"/>
        </row>
        <row r="39">
          <cell r="E39">
            <v>289</v>
          </cell>
          <cell r="F39">
            <v>9</v>
          </cell>
        </row>
        <row r="40">
          <cell r="E40">
            <v>9949</v>
          </cell>
          <cell r="F40">
            <v>8189</v>
          </cell>
        </row>
        <row r="41">
          <cell r="E41">
            <v>130280</v>
          </cell>
          <cell r="F41">
            <v>132756</v>
          </cell>
        </row>
      </sheetData>
      <sheetData sheetId="2">
        <row r="2">
          <cell r="E2">
            <v>100182.88288288287</v>
          </cell>
          <cell r="F2">
            <v>80094.739901191497</v>
          </cell>
        </row>
        <row r="3">
          <cell r="E3">
            <v>70119</v>
          </cell>
          <cell r="F3">
            <v>115832</v>
          </cell>
        </row>
        <row r="4">
          <cell r="E4">
            <v>39455</v>
          </cell>
          <cell r="F4">
            <v>37009</v>
          </cell>
        </row>
        <row r="5">
          <cell r="E5">
            <v>6359</v>
          </cell>
          <cell r="F5">
            <v>7076</v>
          </cell>
        </row>
        <row r="6">
          <cell r="E6">
            <v>460535</v>
          </cell>
          <cell r="F6">
            <v>484865</v>
          </cell>
        </row>
        <row r="7">
          <cell r="E7">
            <v>282178</v>
          </cell>
          <cell r="F7">
            <v>267156</v>
          </cell>
        </row>
        <row r="8">
          <cell r="E8">
            <v>961956</v>
          </cell>
          <cell r="F8">
            <v>1018608</v>
          </cell>
        </row>
        <row r="9">
          <cell r="E9">
            <v>1062000</v>
          </cell>
          <cell r="F9">
            <v>1148000</v>
          </cell>
        </row>
        <row r="10">
          <cell r="E10"/>
          <cell r="F10"/>
        </row>
        <row r="11">
          <cell r="E11"/>
          <cell r="F11"/>
        </row>
        <row r="12">
          <cell r="E12">
            <v>131460.00600870076</v>
          </cell>
          <cell r="F12">
            <v>202108.05120452872</v>
          </cell>
        </row>
        <row r="13">
          <cell r="E13">
            <v>45911</v>
          </cell>
          <cell r="F13">
            <v>50014</v>
          </cell>
        </row>
        <row r="14">
          <cell r="E14">
            <v>110875</v>
          </cell>
          <cell r="F14">
            <v>118338</v>
          </cell>
        </row>
        <row r="15">
          <cell r="E15">
            <v>106552</v>
          </cell>
          <cell r="F15">
            <v>77878</v>
          </cell>
        </row>
        <row r="16">
          <cell r="E16">
            <v>3377582.8888915838</v>
          </cell>
          <cell r="F16">
            <v>3606978.7911057202</v>
          </cell>
        </row>
        <row r="20">
          <cell r="E20">
            <v>132101</v>
          </cell>
          <cell r="F20">
            <v>159884</v>
          </cell>
        </row>
        <row r="21">
          <cell r="E21">
            <v>1076</v>
          </cell>
          <cell r="F21">
            <v>839</v>
          </cell>
        </row>
        <row r="22">
          <cell r="E22">
            <v>93</v>
          </cell>
          <cell r="F22">
            <v>0</v>
          </cell>
        </row>
        <row r="23">
          <cell r="E23">
            <v>4408</v>
          </cell>
          <cell r="F23">
            <v>3755</v>
          </cell>
        </row>
        <row r="24">
          <cell r="E24">
            <v>1475</v>
          </cell>
          <cell r="F24">
            <v>1304</v>
          </cell>
        </row>
        <row r="25">
          <cell r="E25">
            <v>39360</v>
          </cell>
          <cell r="F25">
            <v>21131.756270218168</v>
          </cell>
        </row>
        <row r="26">
          <cell r="E26">
            <v>20000</v>
          </cell>
          <cell r="F26">
            <v>17000</v>
          </cell>
        </row>
        <row r="29">
          <cell r="E29">
            <v>33038.784299735125</v>
          </cell>
          <cell r="F29">
            <v>48429.233537408465</v>
          </cell>
        </row>
        <row r="30">
          <cell r="E30">
            <v>3955</v>
          </cell>
          <cell r="F30">
            <v>3400</v>
          </cell>
        </row>
        <row r="31">
          <cell r="E31">
            <v>170521</v>
          </cell>
          <cell r="F31">
            <v>148119</v>
          </cell>
        </row>
        <row r="32">
          <cell r="E32">
            <v>4691</v>
          </cell>
          <cell r="F32">
            <v>4477</v>
          </cell>
        </row>
        <row r="33">
          <cell r="E33">
            <v>410718.7842997351</v>
          </cell>
          <cell r="F33">
            <v>408338.98980762664</v>
          </cell>
        </row>
      </sheetData>
      <sheetData sheetId="3">
        <row r="2">
          <cell r="E2">
            <v>5000</v>
          </cell>
          <cell r="F2">
            <v>5000</v>
          </cell>
        </row>
        <row r="3">
          <cell r="E3">
            <v>13086.135135135135</v>
          </cell>
          <cell r="F3">
            <v>17618.405405405407</v>
          </cell>
        </row>
        <row r="4">
          <cell r="E4">
            <v>105454.99738448125</v>
          </cell>
          <cell r="F4">
            <v>108790.59517582098</v>
          </cell>
        </row>
        <row r="5">
          <cell r="E5">
            <v>27806</v>
          </cell>
          <cell r="F5">
            <v>15642</v>
          </cell>
        </row>
        <row r="6">
          <cell r="E6">
            <v>4545</v>
          </cell>
          <cell r="F6">
            <v>3583</v>
          </cell>
        </row>
        <row r="7">
          <cell r="E7">
            <v>0</v>
          </cell>
          <cell r="F7">
            <v>0</v>
          </cell>
        </row>
        <row r="8">
          <cell r="E8">
            <v>2108</v>
          </cell>
          <cell r="F8">
            <v>1018</v>
          </cell>
        </row>
        <row r="9">
          <cell r="E9">
            <v>172640</v>
          </cell>
          <cell r="F9">
            <v>127154</v>
          </cell>
        </row>
        <row r="10">
          <cell r="E10">
            <v>116572.83783783784</v>
          </cell>
          <cell r="F10">
            <v>99585.864864864867</v>
          </cell>
        </row>
        <row r="11">
          <cell r="E11">
            <v>109250.8075893029</v>
          </cell>
          <cell r="F11">
            <v>128214.45815507566</v>
          </cell>
        </row>
        <row r="12">
          <cell r="E12">
            <v>313865.6039975083</v>
          </cell>
          <cell r="F12">
            <v>389041.48332405475</v>
          </cell>
        </row>
        <row r="13">
          <cell r="E13">
            <v>20232</v>
          </cell>
          <cell r="F13">
            <v>40371</v>
          </cell>
        </row>
        <row r="14">
          <cell r="E14">
            <v>733959.17733356275</v>
          </cell>
          <cell r="F14">
            <v>939735.3017862218</v>
          </cell>
        </row>
        <row r="15">
          <cell r="E15">
            <v>143759.66766638184</v>
          </cell>
          <cell r="F15">
            <v>129771.76790321982</v>
          </cell>
        </row>
        <row r="16">
          <cell r="E16">
            <v>886</v>
          </cell>
          <cell r="F16">
            <v>565</v>
          </cell>
        </row>
        <row r="17">
          <cell r="E17">
            <v>192747.46033129905</v>
          </cell>
          <cell r="F17">
            <v>235549.8302818948</v>
          </cell>
        </row>
        <row r="18">
          <cell r="E18">
            <v>156387.55303690786</v>
          </cell>
          <cell r="F18">
            <v>206912.18977041557</v>
          </cell>
        </row>
        <row r="19">
          <cell r="E19">
            <v>30776</v>
          </cell>
          <cell r="F19">
            <v>47394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0</v>
          </cell>
        </row>
        <row r="22">
          <cell r="E22">
            <v>10010</v>
          </cell>
          <cell r="F22">
            <v>13124</v>
          </cell>
        </row>
        <row r="23">
          <cell r="E23">
            <v>84878.646033129902</v>
          </cell>
          <cell r="F23">
            <v>68558.166521360079</v>
          </cell>
        </row>
        <row r="24">
          <cell r="E24">
            <v>177679.4220461821</v>
          </cell>
          <cell r="F24">
            <v>149039.98748727897</v>
          </cell>
        </row>
        <row r="25">
          <cell r="E25">
            <v>270023.28916012787</v>
          </cell>
          <cell r="F25">
            <v>219558.39930252833</v>
          </cell>
        </row>
        <row r="26">
          <cell r="E26">
            <v>32075</v>
          </cell>
          <cell r="F26">
            <v>25301</v>
          </cell>
        </row>
        <row r="27">
          <cell r="E27">
            <v>85702</v>
          </cell>
          <cell r="F27">
            <v>99353</v>
          </cell>
        </row>
        <row r="28">
          <cell r="E28">
            <v>0</v>
          </cell>
          <cell r="F28">
            <v>0</v>
          </cell>
        </row>
        <row r="29">
          <cell r="E29">
            <v>0</v>
          </cell>
          <cell r="F29">
            <v>0</v>
          </cell>
        </row>
        <row r="30">
          <cell r="E30">
            <v>130731.81081081081</v>
          </cell>
          <cell r="F30">
            <v>125776.83783783784</v>
          </cell>
        </row>
        <row r="31">
          <cell r="E31">
            <v>437405.480528916</v>
          </cell>
          <cell r="F31">
            <v>410320.50328974135</v>
          </cell>
        </row>
        <row r="32">
          <cell r="E32">
            <v>3377582.8888915842</v>
          </cell>
          <cell r="F32">
            <v>3606978.7911057197</v>
          </cell>
        </row>
        <row r="36">
          <cell r="E36">
            <v>22000</v>
          </cell>
          <cell r="F36">
            <v>4385.8951007652349</v>
          </cell>
        </row>
        <row r="37">
          <cell r="E37">
            <v>900.49523316771069</v>
          </cell>
          <cell r="F37">
            <v>1474.2631706152256</v>
          </cell>
        </row>
        <row r="38">
          <cell r="E38">
            <v>2508.4391177812981</v>
          </cell>
          <cell r="F38">
            <v>1620.0155005213901</v>
          </cell>
        </row>
        <row r="39">
          <cell r="E39">
            <v>343061.29179174633</v>
          </cell>
          <cell r="F39">
            <v>364876.37047402875</v>
          </cell>
        </row>
        <row r="40">
          <cell r="E40">
            <v>4868</v>
          </cell>
          <cell r="F40">
            <v>5440.868017197432</v>
          </cell>
        </row>
        <row r="41">
          <cell r="E41">
            <v>3420</v>
          </cell>
          <cell r="F41">
            <v>2149.9892837251377</v>
          </cell>
        </row>
        <row r="43">
          <cell r="E43">
            <v>33960.55815703977</v>
          </cell>
          <cell r="F43">
            <v>28391.588260773482</v>
          </cell>
        </row>
        <row r="44">
          <cell r="E44">
            <v>410718.7842997351</v>
          </cell>
          <cell r="F44">
            <v>408338.9898076267</v>
          </cell>
        </row>
      </sheetData>
      <sheetData sheetId="4">
        <row r="2">
          <cell r="E2">
            <v>712.24934612031382</v>
          </cell>
          <cell r="F2">
            <v>348.64864864864865</v>
          </cell>
        </row>
        <row r="3">
          <cell r="E3">
            <v>185.13513513513513</v>
          </cell>
          <cell r="F3">
            <v>55.405405405405403</v>
          </cell>
        </row>
        <row r="4">
          <cell r="E4">
            <v>8998.9973844812557</v>
          </cell>
          <cell r="F4">
            <v>6272.5951758209821</v>
          </cell>
        </row>
        <row r="5">
          <cell r="E5">
            <v>4187.8378378378384</v>
          </cell>
          <cell r="F5">
            <v>2214.864864864865</v>
          </cell>
        </row>
        <row r="6">
          <cell r="E6">
            <v>7110.8108108108108</v>
          </cell>
          <cell r="F6">
            <v>4587.8378378378384</v>
          </cell>
        </row>
        <row r="7">
          <cell r="E7">
            <v>2346.3818657367046</v>
          </cell>
          <cell r="F7">
            <v>2406.7567567567567</v>
          </cell>
        </row>
        <row r="8">
          <cell r="E8">
            <v>25126.823597791343</v>
          </cell>
          <cell r="F8">
            <v>19670.473699505957</v>
          </cell>
        </row>
        <row r="9">
          <cell r="E9"/>
          <cell r="F9"/>
        </row>
        <row r="10">
          <cell r="E10">
            <v>22412.234815460619</v>
          </cell>
          <cell r="F10">
            <v>25518.526591107238</v>
          </cell>
        </row>
        <row r="11">
          <cell r="E11">
            <v>830.7323452484743</v>
          </cell>
          <cell r="F11">
            <v>586.21040395233956</v>
          </cell>
        </row>
        <row r="12">
          <cell r="E12">
            <v>4876.4603312990412</v>
          </cell>
          <cell r="F12">
            <v>3723.8302818947982</v>
          </cell>
        </row>
        <row r="13">
          <cell r="E13">
            <v>3917.5530369078756</v>
          </cell>
          <cell r="F13">
            <v>3167.1897704155772</v>
          </cell>
        </row>
        <row r="14">
          <cell r="E14">
            <v>0</v>
          </cell>
          <cell r="F14">
            <v>0</v>
          </cell>
        </row>
        <row r="15">
          <cell r="E15">
            <v>443.24324324324323</v>
          </cell>
          <cell r="F15">
            <v>739.98837547224639</v>
          </cell>
        </row>
        <row r="16">
          <cell r="E16">
            <v>5697.646033129904</v>
          </cell>
          <cell r="F16">
            <v>3847.1665213600695</v>
          </cell>
        </row>
        <row r="17">
          <cell r="E17">
            <v>4055.2891601278698</v>
          </cell>
          <cell r="F17">
            <v>1986.3993025283348</v>
          </cell>
        </row>
        <row r="18">
          <cell r="E18"/>
          <cell r="F18"/>
        </row>
        <row r="19">
          <cell r="E19">
            <v>2920.5899447834931</v>
          </cell>
          <cell r="F19">
            <v>1740.6858471374599</v>
          </cell>
        </row>
        <row r="20">
          <cell r="E20">
            <v>6360.8979947689622</v>
          </cell>
          <cell r="F20">
            <v>3228.1604184829994</v>
          </cell>
        </row>
        <row r="21">
          <cell r="E21">
            <v>100182.88288288287</v>
          </cell>
          <cell r="F21">
            <v>80094.739901191497</v>
          </cell>
        </row>
      </sheetData>
      <sheetData sheetId="5">
        <row r="2">
          <cell r="E2">
            <v>2273</v>
          </cell>
          <cell r="F2">
            <v>3121</v>
          </cell>
        </row>
        <row r="3">
          <cell r="E3"/>
          <cell r="F3"/>
        </row>
        <row r="4">
          <cell r="E4">
            <v>113</v>
          </cell>
          <cell r="F4">
            <v>809</v>
          </cell>
        </row>
        <row r="5">
          <cell r="E5"/>
          <cell r="F5"/>
        </row>
        <row r="6">
          <cell r="E6">
            <v>4257</v>
          </cell>
          <cell r="F6">
            <v>7226</v>
          </cell>
        </row>
        <row r="7">
          <cell r="E7">
            <v>30946</v>
          </cell>
          <cell r="F7">
            <v>66241</v>
          </cell>
        </row>
        <row r="8">
          <cell r="E8">
            <v>13003</v>
          </cell>
          <cell r="F8">
            <v>21340</v>
          </cell>
        </row>
        <row r="9">
          <cell r="E9">
            <v>19527</v>
          </cell>
          <cell r="F9">
            <v>17095</v>
          </cell>
        </row>
        <row r="10">
          <cell r="E10">
            <v>70119</v>
          </cell>
          <cell r="F10">
            <v>115832</v>
          </cell>
        </row>
        <row r="15">
          <cell r="E15">
            <v>128263</v>
          </cell>
          <cell r="F15">
            <v>157144</v>
          </cell>
        </row>
        <row r="16">
          <cell r="E16">
            <v>716</v>
          </cell>
          <cell r="F16">
            <v>525</v>
          </cell>
        </row>
        <row r="17">
          <cell r="E17">
            <v>0</v>
          </cell>
          <cell r="F17">
            <v>0</v>
          </cell>
        </row>
        <row r="18">
          <cell r="E18">
            <v>1273</v>
          </cell>
          <cell r="F18">
            <v>1463</v>
          </cell>
        </row>
        <row r="19">
          <cell r="E19">
            <v>1849</v>
          </cell>
          <cell r="F19">
            <v>752</v>
          </cell>
        </row>
        <row r="20">
          <cell r="E20">
            <v>132101</v>
          </cell>
          <cell r="F20">
            <v>159884</v>
          </cell>
        </row>
      </sheetData>
      <sheetData sheetId="6">
        <row r="2">
          <cell r="E2">
            <v>6054</v>
          </cell>
          <cell r="F2">
            <v>4654</v>
          </cell>
        </row>
        <row r="3">
          <cell r="E3">
            <v>4173</v>
          </cell>
          <cell r="F3">
            <v>3605</v>
          </cell>
        </row>
        <row r="4">
          <cell r="E4">
            <v>232</v>
          </cell>
          <cell r="F4">
            <v>228</v>
          </cell>
        </row>
        <row r="5">
          <cell r="E5">
            <v>10178</v>
          </cell>
          <cell r="F5">
            <v>7876</v>
          </cell>
        </row>
        <row r="6">
          <cell r="E6">
            <v>4428</v>
          </cell>
          <cell r="F6">
            <v>6130</v>
          </cell>
        </row>
        <row r="7">
          <cell r="E7">
            <v>7494</v>
          </cell>
          <cell r="F7">
            <v>7727</v>
          </cell>
        </row>
        <row r="8">
          <cell r="E8">
            <v>2114</v>
          </cell>
          <cell r="F8">
            <v>1876</v>
          </cell>
        </row>
        <row r="9">
          <cell r="E9">
            <v>313</v>
          </cell>
          <cell r="F9">
            <v>1129</v>
          </cell>
        </row>
        <row r="10">
          <cell r="E10">
            <v>0</v>
          </cell>
          <cell r="F10">
            <v>0</v>
          </cell>
        </row>
        <row r="11">
          <cell r="E11">
            <v>4469</v>
          </cell>
          <cell r="F11">
            <v>3784</v>
          </cell>
        </row>
        <row r="12">
          <cell r="E12">
            <v>39455</v>
          </cell>
          <cell r="F12">
            <v>37009</v>
          </cell>
        </row>
        <row r="16">
          <cell r="E16">
            <v>910</v>
          </cell>
          <cell r="F16">
            <v>380</v>
          </cell>
        </row>
        <row r="17">
          <cell r="E17">
            <v>1</v>
          </cell>
          <cell r="F17">
            <v>0</v>
          </cell>
        </row>
        <row r="18">
          <cell r="E18">
            <v>72</v>
          </cell>
          <cell r="F18">
            <v>372</v>
          </cell>
        </row>
        <row r="19">
          <cell r="E19">
            <v>26</v>
          </cell>
          <cell r="F19">
            <v>71</v>
          </cell>
        </row>
        <row r="20">
          <cell r="E20">
            <v>67</v>
          </cell>
          <cell r="F20">
            <v>16</v>
          </cell>
        </row>
        <row r="21">
          <cell r="E21">
            <v>1076</v>
          </cell>
          <cell r="F21">
            <v>839</v>
          </cell>
        </row>
      </sheetData>
      <sheetData sheetId="7">
        <row r="2">
          <cell r="E2"/>
          <cell r="F2">
            <v>20</v>
          </cell>
        </row>
        <row r="3">
          <cell r="E3">
            <v>93</v>
          </cell>
          <cell r="F3">
            <v>194</v>
          </cell>
        </row>
        <row r="4">
          <cell r="E4"/>
          <cell r="F4"/>
        </row>
        <row r="5">
          <cell r="E5">
            <v>2103</v>
          </cell>
          <cell r="F5">
            <v>2616</v>
          </cell>
        </row>
        <row r="6">
          <cell r="E6"/>
          <cell r="F6"/>
        </row>
        <row r="7">
          <cell r="E7">
            <v>83</v>
          </cell>
          <cell r="F7"/>
        </row>
        <row r="8">
          <cell r="E8"/>
          <cell r="F8">
            <v>143</v>
          </cell>
        </row>
        <row r="9">
          <cell r="E9"/>
          <cell r="F9"/>
        </row>
        <row r="10">
          <cell r="E10">
            <v>55</v>
          </cell>
          <cell r="F10"/>
        </row>
        <row r="11">
          <cell r="E11"/>
          <cell r="F11">
            <v>14</v>
          </cell>
        </row>
        <row r="12">
          <cell r="E12">
            <v>87</v>
          </cell>
          <cell r="F12">
            <v>414</v>
          </cell>
        </row>
        <row r="13">
          <cell r="E13">
            <v>8</v>
          </cell>
          <cell r="F13">
            <v>21</v>
          </cell>
        </row>
        <row r="14">
          <cell r="E14">
            <v>621</v>
          </cell>
          <cell r="F14">
            <v>1162</v>
          </cell>
        </row>
        <row r="15">
          <cell r="E15"/>
          <cell r="F15"/>
        </row>
        <row r="16">
          <cell r="E16"/>
          <cell r="F16"/>
        </row>
        <row r="17">
          <cell r="E17"/>
          <cell r="F17"/>
        </row>
        <row r="18">
          <cell r="E18">
            <v>2286</v>
          </cell>
          <cell r="F18">
            <v>2361</v>
          </cell>
        </row>
        <row r="19">
          <cell r="E19">
            <v>1023</v>
          </cell>
          <cell r="F19">
            <v>131</v>
          </cell>
        </row>
        <row r="20">
          <cell r="E20">
            <v>6359</v>
          </cell>
          <cell r="F20">
            <v>7076</v>
          </cell>
        </row>
        <row r="24">
          <cell r="E24"/>
          <cell r="F24"/>
        </row>
        <row r="25">
          <cell r="E25"/>
          <cell r="F25"/>
        </row>
        <row r="26">
          <cell r="E26">
            <v>93</v>
          </cell>
          <cell r="F26"/>
        </row>
        <row r="27">
          <cell r="E27">
            <v>93</v>
          </cell>
          <cell r="F27">
            <v>0</v>
          </cell>
        </row>
      </sheetData>
      <sheetData sheetId="8">
        <row r="2">
          <cell r="E2">
            <v>5813</v>
          </cell>
          <cell r="F2">
            <v>3063</v>
          </cell>
        </row>
        <row r="3">
          <cell r="E3">
            <v>17397</v>
          </cell>
          <cell r="F3">
            <v>23118</v>
          </cell>
        </row>
        <row r="4">
          <cell r="E4">
            <v>2097</v>
          </cell>
          <cell r="F4">
            <v>2309</v>
          </cell>
        </row>
        <row r="5">
          <cell r="E5">
            <v>10478</v>
          </cell>
          <cell r="F5">
            <v>15997</v>
          </cell>
        </row>
        <row r="6">
          <cell r="E6"/>
          <cell r="F6"/>
        </row>
        <row r="7">
          <cell r="E7">
            <v>2339</v>
          </cell>
          <cell r="F7">
            <v>2378</v>
          </cell>
        </row>
        <row r="8">
          <cell r="E8">
            <v>91648</v>
          </cell>
          <cell r="F8">
            <v>68583</v>
          </cell>
        </row>
        <row r="9">
          <cell r="E9">
            <v>751</v>
          </cell>
          <cell r="F9">
            <v>1894</v>
          </cell>
        </row>
        <row r="10">
          <cell r="E10">
            <v>12389</v>
          </cell>
          <cell r="F10">
            <v>24958</v>
          </cell>
        </row>
        <row r="11">
          <cell r="E11">
            <v>51841</v>
          </cell>
          <cell r="F11">
            <v>64454</v>
          </cell>
        </row>
        <row r="12">
          <cell r="E12">
            <v>109774</v>
          </cell>
          <cell r="F12">
            <v>129195</v>
          </cell>
        </row>
        <row r="13">
          <cell r="E13">
            <v>2269</v>
          </cell>
          <cell r="F13">
            <v>2966</v>
          </cell>
        </row>
        <row r="14">
          <cell r="E14">
            <v>45957</v>
          </cell>
          <cell r="F14">
            <v>46386</v>
          </cell>
        </row>
        <row r="15">
          <cell r="E15">
            <v>5899</v>
          </cell>
          <cell r="F15">
            <v>8456</v>
          </cell>
        </row>
        <row r="16">
          <cell r="E16"/>
          <cell r="F16"/>
        </row>
        <row r="17">
          <cell r="E17">
            <v>20655</v>
          </cell>
          <cell r="F17">
            <v>26215</v>
          </cell>
        </row>
        <row r="18">
          <cell r="E18">
            <v>8041</v>
          </cell>
          <cell r="F18">
            <v>13750</v>
          </cell>
        </row>
        <row r="19">
          <cell r="E19">
            <v>72</v>
          </cell>
          <cell r="F19">
            <v>77</v>
          </cell>
        </row>
        <row r="20">
          <cell r="E20">
            <v>12225</v>
          </cell>
          <cell r="F20">
            <v>13757</v>
          </cell>
        </row>
        <row r="21">
          <cell r="E21">
            <v>6628</v>
          </cell>
          <cell r="F21">
            <v>10832</v>
          </cell>
        </row>
        <row r="22">
          <cell r="E22"/>
          <cell r="F22"/>
        </row>
        <row r="23">
          <cell r="E23"/>
          <cell r="F23"/>
        </row>
        <row r="24">
          <cell r="E24">
            <v>1980</v>
          </cell>
          <cell r="F24">
            <v>2029</v>
          </cell>
        </row>
        <row r="25">
          <cell r="E25">
            <v>52282</v>
          </cell>
          <cell r="F25">
            <v>24448</v>
          </cell>
        </row>
        <row r="26">
          <cell r="E26">
            <v>460535</v>
          </cell>
          <cell r="F26">
            <v>484865</v>
          </cell>
        </row>
        <row r="30">
          <cell r="E30">
            <v>666</v>
          </cell>
          <cell r="F30">
            <v>1718</v>
          </cell>
        </row>
        <row r="31">
          <cell r="E31"/>
          <cell r="F31"/>
        </row>
        <row r="32">
          <cell r="E32">
            <v>1524</v>
          </cell>
          <cell r="F32">
            <v>1472</v>
          </cell>
        </row>
        <row r="33">
          <cell r="E33">
            <v>531</v>
          </cell>
          <cell r="F33">
            <v>364</v>
          </cell>
        </row>
        <row r="34">
          <cell r="E34"/>
          <cell r="F34"/>
        </row>
        <row r="35">
          <cell r="E35">
            <v>831</v>
          </cell>
          <cell r="F35">
            <v>40</v>
          </cell>
        </row>
        <row r="36">
          <cell r="E36"/>
          <cell r="F36"/>
        </row>
        <row r="37">
          <cell r="E37">
            <v>856</v>
          </cell>
          <cell r="F37">
            <v>161</v>
          </cell>
        </row>
        <row r="38">
          <cell r="E38">
            <v>4408</v>
          </cell>
          <cell r="F38">
            <v>3755</v>
          </cell>
        </row>
      </sheetData>
      <sheetData sheetId="9">
        <row r="2">
          <cell r="E2">
            <v>5122</v>
          </cell>
          <cell r="F2">
            <v>8151</v>
          </cell>
        </row>
        <row r="3">
          <cell r="E3">
            <v>30064</v>
          </cell>
          <cell r="F3">
            <v>28657</v>
          </cell>
        </row>
        <row r="4">
          <cell r="E4">
            <v>0</v>
          </cell>
          <cell r="F4">
            <v>0</v>
          </cell>
        </row>
        <row r="5">
          <cell r="E5">
            <v>68531</v>
          </cell>
          <cell r="F5">
            <v>44972</v>
          </cell>
        </row>
        <row r="6">
          <cell r="E6">
            <v>6683</v>
          </cell>
          <cell r="F6">
            <v>5794</v>
          </cell>
        </row>
        <row r="7">
          <cell r="E7">
            <v>20526</v>
          </cell>
          <cell r="F7">
            <v>22725</v>
          </cell>
        </row>
        <row r="8">
          <cell r="E8">
            <v>0</v>
          </cell>
          <cell r="F8">
            <v>0</v>
          </cell>
        </row>
        <row r="9">
          <cell r="E9">
            <v>2185</v>
          </cell>
          <cell r="F9">
            <v>2344</v>
          </cell>
        </row>
        <row r="10">
          <cell r="E10">
            <v>831</v>
          </cell>
          <cell r="F10">
            <v>565</v>
          </cell>
        </row>
        <row r="11">
          <cell r="E11">
            <v>3095</v>
          </cell>
          <cell r="F11">
            <v>5309</v>
          </cell>
        </row>
        <row r="12">
          <cell r="E12">
            <v>0</v>
          </cell>
          <cell r="F12">
            <v>0</v>
          </cell>
        </row>
        <row r="13">
          <cell r="E13">
            <v>16015</v>
          </cell>
          <cell r="F13">
            <v>16279</v>
          </cell>
        </row>
        <row r="14">
          <cell r="E14">
            <v>17152</v>
          </cell>
          <cell r="F14">
            <v>24892</v>
          </cell>
        </row>
        <row r="15">
          <cell r="E15">
            <v>6286</v>
          </cell>
          <cell r="F15">
            <v>6532</v>
          </cell>
        </row>
        <row r="16">
          <cell r="E16">
            <v>50968</v>
          </cell>
          <cell r="F16">
            <v>62572</v>
          </cell>
        </row>
        <row r="17">
          <cell r="E17">
            <v>389</v>
          </cell>
          <cell r="F17">
            <v>1224</v>
          </cell>
        </row>
        <row r="18">
          <cell r="E18">
            <v>2523</v>
          </cell>
          <cell r="F18">
            <v>1355</v>
          </cell>
        </row>
        <row r="19">
          <cell r="E19">
            <v>40888</v>
          </cell>
          <cell r="F19">
            <v>31345</v>
          </cell>
        </row>
        <row r="20">
          <cell r="E20">
            <v>10920</v>
          </cell>
          <cell r="F20">
            <v>4440</v>
          </cell>
        </row>
        <row r="21">
          <cell r="E21">
            <v>282178</v>
          </cell>
          <cell r="F21">
            <v>267156</v>
          </cell>
        </row>
        <row r="25">
          <cell r="E25">
            <v>1475</v>
          </cell>
          <cell r="F25">
            <v>1304</v>
          </cell>
        </row>
        <row r="26">
          <cell r="E26">
            <v>1475</v>
          </cell>
          <cell r="F26">
            <v>1304</v>
          </cell>
        </row>
      </sheetData>
      <sheetData sheetId="10">
        <row r="2">
          <cell r="E2">
            <v>5000</v>
          </cell>
          <cell r="F2">
            <v>5000</v>
          </cell>
        </row>
        <row r="3">
          <cell r="E3">
            <v>23934</v>
          </cell>
          <cell r="F3">
            <v>30028</v>
          </cell>
        </row>
        <row r="4">
          <cell r="E4">
            <v>80992</v>
          </cell>
          <cell r="F4">
            <v>58571</v>
          </cell>
        </row>
        <row r="5">
          <cell r="E5"/>
          <cell r="F5"/>
        </row>
        <row r="6">
          <cell r="E6">
            <v>73768</v>
          </cell>
          <cell r="F6">
            <v>78332</v>
          </cell>
        </row>
        <row r="7">
          <cell r="E7">
            <v>56828</v>
          </cell>
          <cell r="F7">
            <v>84810</v>
          </cell>
        </row>
        <row r="8">
          <cell r="E8"/>
          <cell r="F8"/>
        </row>
        <row r="9">
          <cell r="E9">
            <v>329947</v>
          </cell>
          <cell r="F9">
            <v>445705</v>
          </cell>
        </row>
        <row r="10">
          <cell r="E10">
            <v>83156</v>
          </cell>
          <cell r="F10">
            <v>59774</v>
          </cell>
        </row>
        <row r="11">
          <cell r="E11"/>
          <cell r="F11"/>
        </row>
        <row r="12">
          <cell r="E12">
            <v>2005</v>
          </cell>
          <cell r="F12">
            <v>3485</v>
          </cell>
        </row>
        <row r="13">
          <cell r="E13"/>
          <cell r="F13"/>
        </row>
        <row r="14">
          <cell r="E14">
            <v>10010</v>
          </cell>
          <cell r="F14">
            <v>13124</v>
          </cell>
        </row>
        <row r="15">
          <cell r="E15">
            <v>35577</v>
          </cell>
          <cell r="F15">
            <v>34853</v>
          </cell>
        </row>
        <row r="16">
          <cell r="E16">
            <v>109348</v>
          </cell>
          <cell r="F16">
            <v>96843</v>
          </cell>
        </row>
        <row r="17">
          <cell r="E17">
            <v>19719</v>
          </cell>
          <cell r="F17">
            <v>11415</v>
          </cell>
        </row>
        <row r="18">
          <cell r="E18"/>
          <cell r="F18"/>
        </row>
        <row r="19">
          <cell r="E19">
            <v>131672</v>
          </cell>
          <cell r="F19">
            <v>96668</v>
          </cell>
        </row>
        <row r="20">
          <cell r="E20">
            <v>961956</v>
          </cell>
          <cell r="F20">
            <v>1018608</v>
          </cell>
        </row>
        <row r="24">
          <cell r="E24">
            <v>22000</v>
          </cell>
          <cell r="F24">
            <v>4385.8951007652349</v>
          </cell>
        </row>
        <row r="25">
          <cell r="E25">
            <v>5260</v>
          </cell>
          <cell r="F25">
            <v>7362.4190438203959</v>
          </cell>
        </row>
        <row r="26">
          <cell r="E26">
            <v>970</v>
          </cell>
          <cell r="F26">
            <v>2335.8680171974324</v>
          </cell>
        </row>
        <row r="27">
          <cell r="E27">
            <v>3420</v>
          </cell>
          <cell r="F27">
            <v>2149.9892837251377</v>
          </cell>
        </row>
        <row r="28">
          <cell r="E28">
            <v>7710</v>
          </cell>
          <cell r="F28">
            <v>4897.5848247099657</v>
          </cell>
        </row>
        <row r="29">
          <cell r="E29">
            <v>39360</v>
          </cell>
          <cell r="F29">
            <v>21131.756270218168</v>
          </cell>
        </row>
      </sheetData>
      <sheetData sheetId="11">
        <row r="2">
          <cell r="E2"/>
          <cell r="F2"/>
        </row>
        <row r="3">
          <cell r="E3"/>
          <cell r="F3"/>
        </row>
        <row r="4">
          <cell r="E4"/>
          <cell r="F4"/>
        </row>
        <row r="5">
          <cell r="E5">
            <v>95000</v>
          </cell>
          <cell r="F5">
            <v>135000</v>
          </cell>
        </row>
        <row r="6">
          <cell r="E6">
            <v>20000</v>
          </cell>
          <cell r="F6">
            <v>40000</v>
          </cell>
        </row>
        <row r="7">
          <cell r="E7">
            <v>170000</v>
          </cell>
          <cell r="F7">
            <v>190000</v>
          </cell>
        </row>
        <row r="8">
          <cell r="E8">
            <v>180000</v>
          </cell>
          <cell r="F8">
            <v>220000</v>
          </cell>
        </row>
        <row r="9">
          <cell r="E9">
            <v>50000</v>
          </cell>
          <cell r="F9">
            <v>60000</v>
          </cell>
        </row>
        <row r="10">
          <cell r="E10">
            <v>60000</v>
          </cell>
          <cell r="F10">
            <v>95000</v>
          </cell>
        </row>
        <row r="11">
          <cell r="E11"/>
          <cell r="F11"/>
        </row>
        <row r="12">
          <cell r="E12">
            <v>37000</v>
          </cell>
          <cell r="F12">
            <v>23000</v>
          </cell>
        </row>
        <row r="13">
          <cell r="E13">
            <v>50000</v>
          </cell>
          <cell r="F13">
            <v>23000</v>
          </cell>
        </row>
        <row r="14">
          <cell r="E14">
            <v>215000</v>
          </cell>
          <cell r="F14">
            <v>155000</v>
          </cell>
        </row>
        <row r="15">
          <cell r="E15">
            <v>85000</v>
          </cell>
          <cell r="F15">
            <v>97000</v>
          </cell>
        </row>
        <row r="16">
          <cell r="E16"/>
          <cell r="F16">
            <v>0</v>
          </cell>
        </row>
        <row r="17">
          <cell r="E17">
            <v>100000</v>
          </cell>
          <cell r="F17">
            <v>110000</v>
          </cell>
        </row>
        <row r="18">
          <cell r="E18">
            <v>1062000</v>
          </cell>
          <cell r="F18">
            <v>1148000</v>
          </cell>
        </row>
        <row r="22">
          <cell r="E22">
            <v>18000</v>
          </cell>
          <cell r="F22">
            <v>14000</v>
          </cell>
        </row>
        <row r="23">
          <cell r="E23"/>
          <cell r="F23"/>
        </row>
        <row r="24">
          <cell r="E24">
            <v>2000</v>
          </cell>
          <cell r="F24">
            <v>3000</v>
          </cell>
        </row>
        <row r="25">
          <cell r="E25">
            <v>20000</v>
          </cell>
          <cell r="F25">
            <v>17000</v>
          </cell>
        </row>
      </sheetData>
      <sheetData sheetId="12"/>
      <sheetData sheetId="13">
        <row r="2">
          <cell r="E2">
            <v>14064.425723566197</v>
          </cell>
          <cell r="F2">
            <v>16723.701398318895</v>
          </cell>
        </row>
        <row r="3">
          <cell r="E3">
            <v>4504.7803997169603</v>
          </cell>
          <cell r="F3">
            <v>9617.0096245487766</v>
          </cell>
        </row>
        <row r="4">
          <cell r="E4">
            <v>74066.942518102165</v>
          </cell>
          <cell r="F4">
            <v>119089.77519511461</v>
          </cell>
        </row>
        <row r="5">
          <cell r="E5">
            <v>13587.935321133362</v>
          </cell>
          <cell r="F5">
            <v>22596.557499267488</v>
          </cell>
        </row>
        <row r="6">
          <cell r="E6">
            <v>9589.4220461820842</v>
          </cell>
          <cell r="F6">
            <v>16488.987487278962</v>
          </cell>
        </row>
        <row r="7">
          <cell r="E7">
            <v>15646.5</v>
          </cell>
          <cell r="F7">
            <v>17592.02</v>
          </cell>
        </row>
        <row r="8">
          <cell r="E8">
            <v>131460.00600870076</v>
          </cell>
          <cell r="F8">
            <v>202108.05120452872</v>
          </cell>
        </row>
        <row r="12">
          <cell r="E12">
            <v>900.49523316771069</v>
          </cell>
          <cell r="F12">
            <v>1474.2631706152256</v>
          </cell>
        </row>
        <row r="13">
          <cell r="E13">
            <v>2508.4391177812981</v>
          </cell>
          <cell r="F13">
            <v>1620.0155005213901</v>
          </cell>
        </row>
        <row r="14">
          <cell r="E14">
            <v>28679.291791746349</v>
          </cell>
          <cell r="F14">
            <v>44571.951430208333</v>
          </cell>
        </row>
        <row r="15">
          <cell r="E15"/>
          <cell r="F15"/>
        </row>
        <row r="16">
          <cell r="E16">
            <v>950.55815703976941</v>
          </cell>
          <cell r="F16">
            <v>763.00343606351646</v>
          </cell>
        </row>
        <row r="17">
          <cell r="E17">
            <v>33038.784299735125</v>
          </cell>
          <cell r="F17">
            <v>48429.233537408465</v>
          </cell>
        </row>
      </sheetData>
      <sheetData sheetId="14">
        <row r="2">
          <cell r="E2">
            <v>921</v>
          </cell>
          <cell r="F2">
            <v>50</v>
          </cell>
        </row>
        <row r="3">
          <cell r="E3">
            <v>6760</v>
          </cell>
          <cell r="F3">
            <v>6482</v>
          </cell>
        </row>
        <row r="4">
          <cell r="E4">
            <v>0</v>
          </cell>
          <cell r="F4">
            <v>0</v>
          </cell>
        </row>
        <row r="5">
          <cell r="E5">
            <v>5</v>
          </cell>
          <cell r="F5">
            <v>0</v>
          </cell>
        </row>
        <row r="6">
          <cell r="E6">
            <v>13641</v>
          </cell>
          <cell r="F6">
            <v>17899</v>
          </cell>
        </row>
        <row r="7">
          <cell r="E7">
            <v>39</v>
          </cell>
          <cell r="F7">
            <v>50</v>
          </cell>
        </row>
        <row r="8">
          <cell r="E8">
            <v>7982</v>
          </cell>
          <cell r="F8">
            <v>9754</v>
          </cell>
        </row>
        <row r="9">
          <cell r="E9">
            <v>228</v>
          </cell>
          <cell r="F9">
            <v>429</v>
          </cell>
        </row>
        <row r="10">
          <cell r="E10">
            <v>348</v>
          </cell>
          <cell r="F10">
            <v>373</v>
          </cell>
        </row>
        <row r="11">
          <cell r="E11">
            <v>1821</v>
          </cell>
          <cell r="F11">
            <v>1630</v>
          </cell>
        </row>
        <row r="12">
          <cell r="E12">
            <v>59</v>
          </cell>
          <cell r="F12">
            <v>52</v>
          </cell>
        </row>
        <row r="13">
          <cell r="E13">
            <v>62</v>
          </cell>
          <cell r="F13">
            <v>76</v>
          </cell>
        </row>
        <row r="14">
          <cell r="E14">
            <v>318</v>
          </cell>
          <cell r="F14">
            <v>326</v>
          </cell>
        </row>
        <row r="15">
          <cell r="E15">
            <v>7</v>
          </cell>
          <cell r="F15">
            <v>0</v>
          </cell>
        </row>
        <row r="16">
          <cell r="E16">
            <v>684</v>
          </cell>
          <cell r="F16">
            <v>308</v>
          </cell>
        </row>
        <row r="17">
          <cell r="E17">
            <v>9660</v>
          </cell>
          <cell r="F17">
            <v>10058</v>
          </cell>
        </row>
        <row r="18">
          <cell r="E18">
            <v>3376</v>
          </cell>
          <cell r="F18">
            <v>2527</v>
          </cell>
        </row>
        <row r="19">
          <cell r="E19">
            <v>45911</v>
          </cell>
          <cell r="F19">
            <v>50014</v>
          </cell>
        </row>
        <row r="23">
          <cell r="E23">
            <v>2770</v>
          </cell>
          <cell r="F23">
            <v>2971</v>
          </cell>
        </row>
        <row r="24">
          <cell r="E24">
            <v>383</v>
          </cell>
          <cell r="F24">
            <v>49</v>
          </cell>
        </row>
        <row r="25">
          <cell r="E25">
            <v>417</v>
          </cell>
          <cell r="F25">
            <v>186</v>
          </cell>
        </row>
        <row r="26">
          <cell r="E26">
            <v>0</v>
          </cell>
          <cell r="F26">
            <v>0</v>
          </cell>
        </row>
        <row r="27">
          <cell r="E27">
            <v>385</v>
          </cell>
          <cell r="F27">
            <v>194</v>
          </cell>
        </row>
        <row r="28">
          <cell r="E28">
            <v>3955</v>
          </cell>
          <cell r="F28">
            <v>3400</v>
          </cell>
        </row>
      </sheetData>
      <sheetData sheetId="15">
        <row r="2">
          <cell r="E2">
            <v>2488</v>
          </cell>
          <cell r="F2">
            <v>3912</v>
          </cell>
        </row>
        <row r="3">
          <cell r="E3">
            <v>40882</v>
          </cell>
          <cell r="F3">
            <v>47080</v>
          </cell>
        </row>
        <row r="4">
          <cell r="E4">
            <v>3157</v>
          </cell>
          <cell r="F4">
            <v>3027</v>
          </cell>
        </row>
        <row r="5">
          <cell r="E5">
            <v>36140</v>
          </cell>
          <cell r="F5">
            <v>34612</v>
          </cell>
        </row>
        <row r="6">
          <cell r="E6">
            <v>24630</v>
          </cell>
          <cell r="F6">
            <v>26136</v>
          </cell>
        </row>
        <row r="7">
          <cell r="E7">
            <v>3578</v>
          </cell>
          <cell r="F7">
            <v>3571</v>
          </cell>
        </row>
        <row r="8">
          <cell r="E8">
            <v>110875</v>
          </cell>
          <cell r="F8">
            <v>118338</v>
          </cell>
        </row>
        <row r="12">
          <cell r="E12">
            <v>155525</v>
          </cell>
          <cell r="F12">
            <v>135456</v>
          </cell>
        </row>
        <row r="13">
          <cell r="E13">
            <v>2477</v>
          </cell>
          <cell r="F13">
            <v>2216</v>
          </cell>
        </row>
        <row r="14">
          <cell r="E14">
            <v>12519</v>
          </cell>
          <cell r="F14">
            <v>10447</v>
          </cell>
        </row>
        <row r="15">
          <cell r="E15">
            <v>170521</v>
          </cell>
          <cell r="F15">
            <v>148119</v>
          </cell>
        </row>
      </sheetData>
      <sheetData sheetId="16">
        <row r="2">
          <cell r="E2">
            <v>19166</v>
          </cell>
          <cell r="F2">
            <v>16700</v>
          </cell>
        </row>
        <row r="3">
          <cell r="E3">
            <v>27806</v>
          </cell>
          <cell r="F3">
            <v>15642</v>
          </cell>
        </row>
        <row r="4">
          <cell r="E4">
            <v>4545</v>
          </cell>
          <cell r="F4">
            <v>3583</v>
          </cell>
        </row>
        <row r="5">
          <cell r="E5">
            <v>2108</v>
          </cell>
          <cell r="F5">
            <v>1018</v>
          </cell>
        </row>
        <row r="6">
          <cell r="E6">
            <v>42142</v>
          </cell>
          <cell r="F6">
            <v>31261</v>
          </cell>
        </row>
        <row r="7">
          <cell r="E7"/>
          <cell r="F7"/>
        </row>
        <row r="8">
          <cell r="E8"/>
          <cell r="F8"/>
        </row>
        <row r="9">
          <cell r="E9"/>
          <cell r="F9"/>
        </row>
        <row r="10">
          <cell r="E10">
            <v>9541</v>
          </cell>
          <cell r="F10">
            <v>8560</v>
          </cell>
        </row>
        <row r="11">
          <cell r="E11">
            <v>1244</v>
          </cell>
          <cell r="F11">
            <v>1114</v>
          </cell>
        </row>
        <row r="12">
          <cell r="E12">
            <v>106552</v>
          </cell>
          <cell r="F12">
            <v>77878</v>
          </cell>
        </row>
        <row r="16">
          <cell r="E16">
            <v>4517</v>
          </cell>
          <cell r="F16">
            <v>4441</v>
          </cell>
        </row>
        <row r="17">
          <cell r="E17">
            <v>174</v>
          </cell>
          <cell r="F17"/>
        </row>
        <row r="18">
          <cell r="E18"/>
          <cell r="F18">
            <v>36</v>
          </cell>
        </row>
        <row r="19">
          <cell r="E19">
            <v>4691</v>
          </cell>
          <cell r="F19">
            <v>4477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US"/>
      <sheetName val="Europe - country"/>
      <sheetName val="Europe - variety"/>
      <sheetName val="Austria"/>
      <sheetName val="Belgium"/>
      <sheetName val="Czech Republic"/>
      <sheetName val="Denmark"/>
      <sheetName val="France"/>
      <sheetName val="Germany"/>
      <sheetName val="Italy"/>
      <sheetName val="Poland"/>
      <sheetName val="Portugal"/>
      <sheetName val="Slovakia"/>
      <sheetName val="Spain"/>
      <sheetName val="Switzerland"/>
      <sheetName val="Netherlands"/>
      <sheetName val="UK"/>
    </sheetNames>
    <sheetDataSet>
      <sheetData sheetId="0"/>
      <sheetData sheetId="1"/>
      <sheetData sheetId="2">
        <row r="27">
          <cell r="E27">
            <v>55279.964223139912</v>
          </cell>
          <cell r="F27">
            <v>127647</v>
          </cell>
        </row>
      </sheetData>
      <sheetData sheetId="3">
        <row r="42">
          <cell r="E42">
            <v>55279.964223139912</v>
          </cell>
          <cell r="F42">
            <v>127647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E13">
            <v>55279.964223139912</v>
          </cell>
          <cell r="F13">
            <v>127647</v>
          </cell>
        </row>
        <row r="14">
          <cell r="E14">
            <v>55279.964223139912</v>
          </cell>
          <cell r="F14">
            <v>127647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9:G39"/>
  <sheetViews>
    <sheetView workbookViewId="0"/>
  </sheetViews>
  <sheetFormatPr defaultColWidth="8.77734375" defaultRowHeight="13.2" x14ac:dyDescent="0.25"/>
  <cols>
    <col min="1" max="2" width="8.77734375" customWidth="1"/>
    <col min="3" max="3" width="18.33203125" customWidth="1"/>
  </cols>
  <sheetData>
    <row r="19" spans="2:7" x14ac:dyDescent="0.25">
      <c r="B19" s="3" t="s">
        <v>178</v>
      </c>
      <c r="G19" s="8" t="s">
        <v>144</v>
      </c>
    </row>
    <row r="21" spans="2:7" x14ac:dyDescent="0.25">
      <c r="B21" t="s">
        <v>62</v>
      </c>
      <c r="C21" t="s">
        <v>63</v>
      </c>
    </row>
    <row r="22" spans="2:7" x14ac:dyDescent="0.25">
      <c r="C22" t="s">
        <v>64</v>
      </c>
    </row>
    <row r="23" spans="2:7" x14ac:dyDescent="0.25">
      <c r="C23" t="s">
        <v>90</v>
      </c>
    </row>
    <row r="24" spans="2:7" x14ac:dyDescent="0.25">
      <c r="C24" s="3" t="s">
        <v>119</v>
      </c>
    </row>
    <row r="26" spans="2:7" x14ac:dyDescent="0.25">
      <c r="B26" t="s">
        <v>65</v>
      </c>
      <c r="C26" t="s">
        <v>66</v>
      </c>
      <c r="D26" t="s">
        <v>67</v>
      </c>
    </row>
    <row r="27" spans="2:7" x14ac:dyDescent="0.25">
      <c r="C27" t="s">
        <v>68</v>
      </c>
      <c r="D27" t="s">
        <v>69</v>
      </c>
    </row>
    <row r="28" spans="2:7" x14ac:dyDescent="0.25">
      <c r="C28" t="s">
        <v>70</v>
      </c>
      <c r="D28" t="s">
        <v>71</v>
      </c>
    </row>
    <row r="29" spans="2:7" x14ac:dyDescent="0.25">
      <c r="C29" t="s">
        <v>72</v>
      </c>
      <c r="D29" s="3" t="s">
        <v>86</v>
      </c>
    </row>
    <row r="30" spans="2:7" x14ac:dyDescent="0.25">
      <c r="C30" s="3" t="s">
        <v>136</v>
      </c>
      <c r="D30" t="s">
        <v>73</v>
      </c>
    </row>
    <row r="31" spans="2:7" x14ac:dyDescent="0.25">
      <c r="C31" t="s">
        <v>74</v>
      </c>
      <c r="D31" t="s">
        <v>132</v>
      </c>
    </row>
    <row r="32" spans="2:7" x14ac:dyDescent="0.25">
      <c r="C32" t="s">
        <v>75</v>
      </c>
      <c r="D32" t="s">
        <v>131</v>
      </c>
    </row>
    <row r="33" spans="3:4" x14ac:dyDescent="0.25">
      <c r="C33" t="s">
        <v>76</v>
      </c>
      <c r="D33" t="s">
        <v>77</v>
      </c>
    </row>
    <row r="34" spans="3:4" x14ac:dyDescent="0.25">
      <c r="C34" t="s">
        <v>78</v>
      </c>
      <c r="D34" s="19" t="s">
        <v>85</v>
      </c>
    </row>
    <row r="35" spans="3:4" x14ac:dyDescent="0.25">
      <c r="C35" t="s">
        <v>151</v>
      </c>
      <c r="D35" s="19" t="s">
        <v>150</v>
      </c>
    </row>
    <row r="36" spans="3:4" x14ac:dyDescent="0.25">
      <c r="C36" t="s">
        <v>80</v>
      </c>
      <c r="D36" t="s">
        <v>158</v>
      </c>
    </row>
    <row r="37" spans="3:4" x14ac:dyDescent="0.25">
      <c r="C37" t="s">
        <v>79</v>
      </c>
      <c r="D37" t="s">
        <v>84</v>
      </c>
    </row>
    <row r="38" spans="3:4" x14ac:dyDescent="0.25">
      <c r="C38" t="s">
        <v>81</v>
      </c>
      <c r="D38" t="s">
        <v>131</v>
      </c>
    </row>
    <row r="39" spans="3:4" x14ac:dyDescent="0.25">
      <c r="C39" t="s">
        <v>82</v>
      </c>
      <c r="D39" t="s">
        <v>83</v>
      </c>
    </row>
  </sheetData>
  <phoneticPr fontId="3" type="noConversion"/>
  <pageMargins left="0.75" right="0.75" top="1" bottom="1" header="0.5" footer="0.5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9"/>
  <sheetViews>
    <sheetView workbookViewId="0"/>
  </sheetViews>
  <sheetFormatPr defaultColWidth="8.77734375" defaultRowHeight="13.2" x14ac:dyDescent="0.25"/>
  <cols>
    <col min="1" max="1" width="19.33203125" customWidth="1"/>
    <col min="2" max="2" width="10.6640625" customWidth="1"/>
    <col min="3" max="3" width="11.6640625" bestFit="1" customWidth="1"/>
    <col min="4" max="4" width="11.33203125" bestFit="1" customWidth="1"/>
    <col min="5" max="10" width="11.33203125" customWidth="1"/>
    <col min="11" max="21" width="10.109375" bestFit="1" customWidth="1"/>
  </cols>
  <sheetData>
    <row r="1" spans="1:22" ht="13.8" thickBot="1" x14ac:dyDescent="0.3">
      <c r="A1" s="39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2" x14ac:dyDescent="0.25">
      <c r="A2" s="40" t="s">
        <v>4</v>
      </c>
      <c r="B2" s="47">
        <f>(E2-F2)/F2</f>
        <v>-0.49901619494475558</v>
      </c>
      <c r="C2" s="129">
        <f>E2-[1]Germany!E2</f>
        <v>-1812</v>
      </c>
      <c r="D2" s="38">
        <f>F2-[1]Germany!F2</f>
        <v>-1544</v>
      </c>
      <c r="E2" s="43">
        <v>3310</v>
      </c>
      <c r="F2" s="38">
        <v>6607</v>
      </c>
      <c r="G2" s="38">
        <v>300</v>
      </c>
      <c r="H2" s="38">
        <v>2190</v>
      </c>
      <c r="I2" s="38">
        <v>4361</v>
      </c>
      <c r="J2" s="38">
        <v>5</v>
      </c>
      <c r="K2" s="38">
        <v>5693</v>
      </c>
      <c r="L2" s="38">
        <v>1780</v>
      </c>
      <c r="M2" s="38">
        <v>4890</v>
      </c>
      <c r="N2" s="38">
        <v>1111</v>
      </c>
      <c r="O2" s="38">
        <v>2076</v>
      </c>
      <c r="P2" s="38">
        <v>448</v>
      </c>
      <c r="Q2" s="38">
        <v>1780</v>
      </c>
      <c r="R2" s="38">
        <v>776</v>
      </c>
      <c r="S2" s="38">
        <v>3918</v>
      </c>
      <c r="T2" s="38">
        <v>1755</v>
      </c>
      <c r="U2" s="65">
        <v>4189</v>
      </c>
    </row>
    <row r="3" spans="1:22" x14ac:dyDescent="0.25">
      <c r="A3" s="40" t="s">
        <v>11</v>
      </c>
      <c r="B3" s="47">
        <f>(E3-F3)/F3</f>
        <v>-6.0775801708444196E-2</v>
      </c>
      <c r="C3" s="129">
        <f>E3-[1]Germany!E3</f>
        <v>-9943</v>
      </c>
      <c r="D3" s="38">
        <f>F3-[1]Germany!F3</f>
        <v>-7234</v>
      </c>
      <c r="E3" s="43">
        <v>20121</v>
      </c>
      <c r="F3" s="38">
        <v>21423</v>
      </c>
      <c r="G3" s="38">
        <v>18181</v>
      </c>
      <c r="H3" s="38">
        <v>16498</v>
      </c>
      <c r="I3" s="38">
        <v>23214</v>
      </c>
      <c r="J3" s="38">
        <v>4092</v>
      </c>
      <c r="K3" s="38">
        <v>15279</v>
      </c>
      <c r="L3" s="38">
        <v>22400</v>
      </c>
      <c r="M3" s="38">
        <v>15011</v>
      </c>
      <c r="N3" s="38">
        <v>13383</v>
      </c>
      <c r="O3" s="38">
        <v>11502</v>
      </c>
      <c r="P3" s="38">
        <v>10234</v>
      </c>
      <c r="Q3" s="38">
        <v>10344</v>
      </c>
      <c r="R3" s="38">
        <v>9040</v>
      </c>
      <c r="S3" s="38">
        <v>7206</v>
      </c>
      <c r="T3" s="38">
        <v>7030</v>
      </c>
      <c r="U3" s="65">
        <v>5484</v>
      </c>
    </row>
    <row r="4" spans="1:22" x14ac:dyDescent="0.25">
      <c r="A4" s="40" t="s">
        <v>5</v>
      </c>
      <c r="B4" s="47"/>
      <c r="C4" s="129">
        <f>E4-[1]Germany!E4</f>
        <v>0</v>
      </c>
      <c r="D4" s="38">
        <f>F4-[1]Germany!F4</f>
        <v>0</v>
      </c>
      <c r="E4" s="43">
        <v>0</v>
      </c>
      <c r="F4" s="38">
        <v>0</v>
      </c>
      <c r="G4" s="38">
        <v>0</v>
      </c>
      <c r="H4" s="38">
        <v>0</v>
      </c>
      <c r="I4" s="38">
        <v>22</v>
      </c>
      <c r="J4" s="38">
        <v>0</v>
      </c>
      <c r="K4" s="38">
        <v>70</v>
      </c>
      <c r="L4" s="38">
        <v>190</v>
      </c>
      <c r="M4" s="38">
        <v>51</v>
      </c>
      <c r="N4" s="38">
        <v>10</v>
      </c>
      <c r="O4" s="38">
        <v>7</v>
      </c>
      <c r="P4" s="38">
        <v>75</v>
      </c>
      <c r="Q4" s="38">
        <v>60</v>
      </c>
      <c r="R4" s="38">
        <v>41</v>
      </c>
      <c r="S4" s="38">
        <v>16</v>
      </c>
      <c r="T4" s="38">
        <v>22</v>
      </c>
      <c r="U4" s="65">
        <v>309</v>
      </c>
    </row>
    <row r="5" spans="1:22" x14ac:dyDescent="0.25">
      <c r="A5" s="40" t="s">
        <v>2</v>
      </c>
      <c r="B5" s="47">
        <f>(E5-F5)/F5</f>
        <v>0.62429104587263806</v>
      </c>
      <c r="C5" s="129">
        <f>E5-[1]Germany!E5</f>
        <v>-13258</v>
      </c>
      <c r="D5" s="38">
        <f>F5-[1]Germany!F5</f>
        <v>-10943</v>
      </c>
      <c r="E5" s="43">
        <v>55273</v>
      </c>
      <c r="F5" s="38">
        <v>34029</v>
      </c>
      <c r="G5" s="38">
        <v>31884</v>
      </c>
      <c r="H5" s="38">
        <v>33951</v>
      </c>
      <c r="I5" s="38">
        <v>30296</v>
      </c>
      <c r="J5" s="38">
        <v>16010</v>
      </c>
      <c r="K5" s="38">
        <v>30423</v>
      </c>
      <c r="L5" s="38">
        <v>30580</v>
      </c>
      <c r="M5" s="38">
        <v>40359</v>
      </c>
      <c r="N5" s="38">
        <v>22693</v>
      </c>
      <c r="O5" s="38">
        <v>21862</v>
      </c>
      <c r="P5" s="38">
        <v>30466</v>
      </c>
      <c r="Q5" s="38">
        <v>23068</v>
      </c>
      <c r="R5" s="38">
        <v>34323</v>
      </c>
      <c r="S5" s="38">
        <v>21231</v>
      </c>
      <c r="T5" s="38">
        <v>26777</v>
      </c>
      <c r="U5" s="65">
        <v>29059</v>
      </c>
    </row>
    <row r="6" spans="1:22" x14ac:dyDescent="0.25">
      <c r="A6" s="40" t="s">
        <v>12</v>
      </c>
      <c r="B6" s="47">
        <f>(E6-F6)/F6</f>
        <v>0.29842025535598354</v>
      </c>
      <c r="C6" s="129">
        <f>E6-[1]Germany!E6</f>
        <v>-683</v>
      </c>
      <c r="D6" s="38">
        <f>F6-[1]Germany!F6</f>
        <v>-1173</v>
      </c>
      <c r="E6" s="43">
        <v>6000</v>
      </c>
      <c r="F6" s="38">
        <v>4621</v>
      </c>
      <c r="G6" s="38">
        <v>5880</v>
      </c>
      <c r="H6" s="38">
        <v>4742</v>
      </c>
      <c r="I6" s="38">
        <v>7234</v>
      </c>
      <c r="J6" s="38">
        <v>1426</v>
      </c>
      <c r="K6" s="38">
        <v>5863</v>
      </c>
      <c r="L6" s="38">
        <v>4774</v>
      </c>
      <c r="M6" s="38">
        <v>6271</v>
      </c>
      <c r="N6" s="38">
        <v>5588</v>
      </c>
      <c r="O6" s="38">
        <v>1285</v>
      </c>
      <c r="P6" s="38">
        <v>3519</v>
      </c>
      <c r="Q6" s="38">
        <v>2296</v>
      </c>
      <c r="R6" s="38">
        <v>3569</v>
      </c>
      <c r="S6" s="38">
        <v>2225</v>
      </c>
      <c r="T6" s="38">
        <v>3070</v>
      </c>
      <c r="U6" s="65">
        <v>1087</v>
      </c>
    </row>
    <row r="7" spans="1:22" x14ac:dyDescent="0.25">
      <c r="A7" s="40" t="s">
        <v>9</v>
      </c>
      <c r="B7" s="47">
        <f>(E7-F7)/F7</f>
        <v>-0.12638775271707375</v>
      </c>
      <c r="C7" s="129">
        <f>E7-[1]Germany!E7</f>
        <v>-5575</v>
      </c>
      <c r="D7" s="38">
        <f>F7-[1]Germany!F7</f>
        <v>-5611</v>
      </c>
      <c r="E7" s="43">
        <v>14951</v>
      </c>
      <c r="F7" s="38">
        <v>17114</v>
      </c>
      <c r="G7" s="38">
        <v>14723</v>
      </c>
      <c r="H7" s="38">
        <v>9343</v>
      </c>
      <c r="I7" s="38">
        <v>11013</v>
      </c>
      <c r="J7" s="38">
        <v>5387</v>
      </c>
      <c r="K7" s="38">
        <v>9937</v>
      </c>
      <c r="L7" s="38">
        <v>11987</v>
      </c>
      <c r="M7" s="38">
        <v>5458</v>
      </c>
      <c r="N7" s="38">
        <v>7459</v>
      </c>
      <c r="O7" s="38">
        <v>6984</v>
      </c>
      <c r="P7" s="38">
        <v>5661</v>
      </c>
      <c r="Q7" s="38">
        <v>3760</v>
      </c>
      <c r="R7" s="38">
        <v>3162</v>
      </c>
      <c r="S7" s="38">
        <v>6073</v>
      </c>
      <c r="T7" s="38">
        <v>3398</v>
      </c>
      <c r="U7" s="65">
        <v>2684</v>
      </c>
    </row>
    <row r="8" spans="1:22" x14ac:dyDescent="0.25">
      <c r="A8" s="40" t="s">
        <v>14</v>
      </c>
      <c r="B8" s="47"/>
      <c r="C8" s="129">
        <f>E8-[1]Germany!E8</f>
        <v>0</v>
      </c>
      <c r="D8" s="38">
        <f>F8-[1]Germany!F8</f>
        <v>0</v>
      </c>
      <c r="E8" s="43">
        <v>0</v>
      </c>
      <c r="F8" s="38">
        <v>0</v>
      </c>
      <c r="G8" s="38">
        <v>60</v>
      </c>
      <c r="H8" s="38"/>
      <c r="I8" s="38">
        <v>287</v>
      </c>
      <c r="J8" s="38">
        <v>0</v>
      </c>
      <c r="K8" s="38">
        <v>560</v>
      </c>
      <c r="L8" s="38">
        <v>756</v>
      </c>
      <c r="M8" s="38">
        <v>2287</v>
      </c>
      <c r="N8" s="38">
        <v>1334</v>
      </c>
      <c r="O8" s="38">
        <v>2902</v>
      </c>
      <c r="P8" s="38">
        <v>3313</v>
      </c>
      <c r="Q8" s="38">
        <v>3492</v>
      </c>
      <c r="R8" s="38">
        <v>6268</v>
      </c>
      <c r="S8" s="38">
        <v>9132</v>
      </c>
      <c r="T8" s="38">
        <v>2261</v>
      </c>
      <c r="U8" s="65">
        <v>7093</v>
      </c>
    </row>
    <row r="9" spans="1:22" x14ac:dyDescent="0.25">
      <c r="A9" s="40" t="s">
        <v>3</v>
      </c>
      <c r="B9" s="47">
        <f>(E9-F9)/F9</f>
        <v>-0.18721461187214611</v>
      </c>
      <c r="C9" s="129">
        <f>E9-[1]Germany!E9</f>
        <v>-583</v>
      </c>
      <c r="D9" s="38">
        <f>F9-[1]Germany!F9</f>
        <v>-373</v>
      </c>
      <c r="E9" s="43">
        <v>1602</v>
      </c>
      <c r="F9" s="38">
        <v>1971</v>
      </c>
      <c r="G9" s="38">
        <v>2996</v>
      </c>
      <c r="H9" s="38">
        <v>2496</v>
      </c>
      <c r="I9" s="38">
        <v>2590</v>
      </c>
      <c r="J9" s="38">
        <v>1551</v>
      </c>
      <c r="K9" s="38">
        <v>6844</v>
      </c>
      <c r="L9" s="38">
        <v>6789</v>
      </c>
      <c r="M9" s="38">
        <v>6628</v>
      </c>
      <c r="N9" s="38">
        <v>9419</v>
      </c>
      <c r="O9" s="38">
        <v>11298</v>
      </c>
      <c r="P9" s="38">
        <v>14035</v>
      </c>
      <c r="Q9" s="38">
        <v>9211</v>
      </c>
      <c r="R9" s="38">
        <v>13748</v>
      </c>
      <c r="S9" s="38">
        <v>16625</v>
      </c>
      <c r="T9" s="38">
        <v>12354</v>
      </c>
      <c r="U9" s="65">
        <v>11611</v>
      </c>
    </row>
    <row r="10" spans="1:22" x14ac:dyDescent="0.25">
      <c r="A10" s="40" t="s">
        <v>15</v>
      </c>
      <c r="B10" s="47">
        <f>(E10-F10)/F10</f>
        <v>-0.75909090909090904</v>
      </c>
      <c r="C10" s="129">
        <f>E10-[1]Germany!E10</f>
        <v>-778</v>
      </c>
      <c r="D10" s="38">
        <f>F10-[1]Germany!F10</f>
        <v>-345</v>
      </c>
      <c r="E10" s="43">
        <v>53</v>
      </c>
      <c r="F10" s="38">
        <v>220</v>
      </c>
      <c r="G10" s="38">
        <v>100</v>
      </c>
      <c r="H10" s="38"/>
      <c r="I10" s="38">
        <v>50</v>
      </c>
      <c r="J10" s="38">
        <v>0</v>
      </c>
      <c r="K10" s="38">
        <v>300</v>
      </c>
      <c r="L10" s="38">
        <v>325</v>
      </c>
      <c r="M10" s="38">
        <v>568</v>
      </c>
      <c r="N10" s="38">
        <v>330</v>
      </c>
      <c r="O10" s="38">
        <v>2</v>
      </c>
      <c r="P10" s="38">
        <v>742</v>
      </c>
      <c r="Q10" s="38">
        <v>95</v>
      </c>
      <c r="R10" s="38">
        <v>410</v>
      </c>
      <c r="S10" s="38">
        <v>0</v>
      </c>
      <c r="T10" s="38">
        <v>74</v>
      </c>
      <c r="U10" s="65">
        <v>104</v>
      </c>
    </row>
    <row r="11" spans="1:22" x14ac:dyDescent="0.25">
      <c r="A11" s="40" t="s">
        <v>10</v>
      </c>
      <c r="B11" s="47">
        <f>(E11-F11)/F11</f>
        <v>-0.41490777714394372</v>
      </c>
      <c r="C11" s="129">
        <f>E11-[1]Germany!E11</f>
        <v>-18</v>
      </c>
      <c r="D11" s="38">
        <f>F11-[1]Germany!F11</f>
        <v>-50</v>
      </c>
      <c r="E11" s="43">
        <v>3077</v>
      </c>
      <c r="F11" s="38">
        <v>5259</v>
      </c>
      <c r="G11" s="38">
        <v>5698</v>
      </c>
      <c r="H11" s="38">
        <v>3282</v>
      </c>
      <c r="I11" s="38">
        <v>8187</v>
      </c>
      <c r="J11" s="38">
        <v>7101</v>
      </c>
      <c r="K11" s="38">
        <v>9973</v>
      </c>
      <c r="L11" s="38">
        <v>15381</v>
      </c>
      <c r="M11" s="38">
        <v>9203</v>
      </c>
      <c r="N11" s="38">
        <v>19774</v>
      </c>
      <c r="O11" s="38">
        <v>21220</v>
      </c>
      <c r="P11" s="38">
        <v>19566</v>
      </c>
      <c r="Q11" s="38">
        <v>18082</v>
      </c>
      <c r="R11" s="38">
        <v>22915</v>
      </c>
      <c r="S11" s="38">
        <v>21192</v>
      </c>
      <c r="T11" s="38">
        <v>11528</v>
      </c>
      <c r="U11" s="65">
        <v>19663</v>
      </c>
      <c r="V11" s="1"/>
    </row>
    <row r="12" spans="1:22" x14ac:dyDescent="0.25">
      <c r="A12" s="40" t="s">
        <v>99</v>
      </c>
      <c r="B12" s="47"/>
      <c r="C12" s="129">
        <f>E12-[1]Germany!E12</f>
        <v>0</v>
      </c>
      <c r="D12" s="94">
        <f>F12-[1]Germany!F12</f>
        <v>0</v>
      </c>
      <c r="E12" s="72">
        <v>0</v>
      </c>
      <c r="F12" s="94">
        <v>0</v>
      </c>
      <c r="G12" s="94">
        <v>0</v>
      </c>
      <c r="H12" s="94"/>
      <c r="I12" s="94"/>
      <c r="J12" s="94"/>
      <c r="K12" s="94"/>
      <c r="L12" s="94"/>
      <c r="M12" s="94">
        <v>0</v>
      </c>
      <c r="N12" s="94">
        <v>0</v>
      </c>
      <c r="O12" s="38">
        <v>0</v>
      </c>
      <c r="P12" s="38">
        <v>0</v>
      </c>
      <c r="Q12" s="38">
        <v>0</v>
      </c>
      <c r="R12" s="38">
        <v>5</v>
      </c>
      <c r="S12" s="38">
        <v>37</v>
      </c>
      <c r="T12" s="38">
        <v>0</v>
      </c>
      <c r="U12" s="65">
        <v>0</v>
      </c>
      <c r="V12" s="1"/>
    </row>
    <row r="13" spans="1:22" x14ac:dyDescent="0.25">
      <c r="A13" s="40" t="s">
        <v>27</v>
      </c>
      <c r="B13" s="47">
        <f t="shared" ref="B13:B21" si="0">(E13-F13)/F13</f>
        <v>-0.15715687648955559</v>
      </c>
      <c r="C13" s="129">
        <f>E13-[1]Germany!E13</f>
        <v>-3991</v>
      </c>
      <c r="D13" s="38">
        <f>F13-[1]Germany!F13</f>
        <v>-2013</v>
      </c>
      <c r="E13" s="43">
        <v>12024</v>
      </c>
      <c r="F13" s="38">
        <v>14266</v>
      </c>
      <c r="G13" s="38">
        <v>8663</v>
      </c>
      <c r="H13" s="38">
        <v>10123</v>
      </c>
      <c r="I13" s="38">
        <v>24415</v>
      </c>
      <c r="J13" s="38">
        <v>8847</v>
      </c>
      <c r="K13" s="38">
        <v>26001</v>
      </c>
      <c r="L13" s="38">
        <v>22738</v>
      </c>
      <c r="M13" s="38">
        <v>28802</v>
      </c>
      <c r="N13" s="38">
        <v>25031</v>
      </c>
      <c r="O13" s="38">
        <v>31046</v>
      </c>
      <c r="P13" s="38">
        <v>40437</v>
      </c>
      <c r="Q13" s="38">
        <v>28998</v>
      </c>
      <c r="R13" s="38">
        <v>42876</v>
      </c>
      <c r="S13" s="38">
        <v>39678</v>
      </c>
      <c r="T13" s="38">
        <v>36203</v>
      </c>
      <c r="U13" s="65">
        <v>38090</v>
      </c>
      <c r="V13" s="1"/>
    </row>
    <row r="14" spans="1:22" x14ac:dyDescent="0.25">
      <c r="A14" s="40" t="s">
        <v>26</v>
      </c>
      <c r="B14" s="47">
        <f t="shared" si="0"/>
        <v>-0.39165452831805331</v>
      </c>
      <c r="C14" s="129">
        <f>E14-[1]Germany!E14</f>
        <v>-2952</v>
      </c>
      <c r="D14" s="38">
        <f>F14-[1]Germany!F14</f>
        <v>-1550</v>
      </c>
      <c r="E14" s="43">
        <v>14200</v>
      </c>
      <c r="F14" s="38">
        <v>23342</v>
      </c>
      <c r="G14" s="38">
        <v>25190</v>
      </c>
      <c r="H14" s="38">
        <v>23231</v>
      </c>
      <c r="I14" s="38">
        <v>43534</v>
      </c>
      <c r="J14" s="38">
        <v>18960</v>
      </c>
      <c r="K14" s="38">
        <v>48949</v>
      </c>
      <c r="L14" s="38">
        <v>46898</v>
      </c>
      <c r="M14" s="38">
        <v>54997</v>
      </c>
      <c r="N14" s="38">
        <v>37943</v>
      </c>
      <c r="O14" s="38">
        <v>54384</v>
      </c>
      <c r="P14" s="38">
        <v>60826</v>
      </c>
      <c r="Q14" s="38">
        <v>46168</v>
      </c>
      <c r="R14" s="38">
        <v>58742</v>
      </c>
      <c r="S14" s="38">
        <v>46812</v>
      </c>
      <c r="T14" s="38">
        <v>38985</v>
      </c>
      <c r="U14" s="65">
        <v>44937</v>
      </c>
    </row>
    <row r="15" spans="1:22" x14ac:dyDescent="0.25">
      <c r="A15" s="40" t="s">
        <v>13</v>
      </c>
      <c r="B15" s="47">
        <f t="shared" si="0"/>
        <v>-4.2336548767416937E-2</v>
      </c>
      <c r="C15" s="129">
        <f>E15-[1]Germany!E15</f>
        <v>-925</v>
      </c>
      <c r="D15" s="38">
        <f>F15-[1]Germany!F15</f>
        <v>-934</v>
      </c>
      <c r="E15" s="43">
        <v>5361</v>
      </c>
      <c r="F15" s="38">
        <v>5598</v>
      </c>
      <c r="G15" s="38">
        <v>5043</v>
      </c>
      <c r="H15" s="38">
        <v>5273</v>
      </c>
      <c r="I15" s="38">
        <v>6491</v>
      </c>
      <c r="J15" s="38">
        <v>4343</v>
      </c>
      <c r="K15" s="38">
        <v>9201</v>
      </c>
      <c r="L15" s="38">
        <v>10597</v>
      </c>
      <c r="M15" s="38">
        <v>10968</v>
      </c>
      <c r="N15" s="38">
        <v>8325</v>
      </c>
      <c r="O15" s="38">
        <v>7878</v>
      </c>
      <c r="P15" s="38">
        <v>7387</v>
      </c>
      <c r="Q15" s="38">
        <v>5797</v>
      </c>
      <c r="R15" s="38">
        <v>7964</v>
      </c>
      <c r="S15" s="38">
        <v>5618</v>
      </c>
      <c r="T15" s="38">
        <v>3271</v>
      </c>
      <c r="U15" s="65">
        <v>4402</v>
      </c>
    </row>
    <row r="16" spans="1:22" x14ac:dyDescent="0.25">
      <c r="A16" s="40" t="s">
        <v>134</v>
      </c>
      <c r="B16" s="47">
        <f t="shared" si="0"/>
        <v>-0.25871743486973947</v>
      </c>
      <c r="C16" s="129">
        <f>E16-[1]Germany!E16</f>
        <v>-6580</v>
      </c>
      <c r="D16" s="38">
        <f>F16-[1]Germany!F16</f>
        <v>-2692</v>
      </c>
      <c r="E16" s="43">
        <v>44388</v>
      </c>
      <c r="F16" s="38">
        <v>59880</v>
      </c>
      <c r="G16" s="38">
        <v>46161</v>
      </c>
      <c r="H16" s="38">
        <v>43257</v>
      </c>
      <c r="I16" s="38">
        <v>56665</v>
      </c>
      <c r="J16" s="38">
        <v>34408</v>
      </c>
      <c r="K16" s="38">
        <v>51419</v>
      </c>
      <c r="L16" s="38">
        <v>30421</v>
      </c>
      <c r="M16" s="38">
        <v>29472</v>
      </c>
      <c r="N16" s="38">
        <v>13657</v>
      </c>
      <c r="O16" s="38">
        <v>21503</v>
      </c>
      <c r="P16" s="38">
        <v>15738</v>
      </c>
      <c r="Q16" s="38">
        <v>11201</v>
      </c>
      <c r="R16" s="38">
        <v>14449</v>
      </c>
      <c r="S16" s="38">
        <v>9322</v>
      </c>
      <c r="T16" s="38">
        <v>8955</v>
      </c>
      <c r="U16" s="65">
        <v>2961</v>
      </c>
    </row>
    <row r="17" spans="1:21" x14ac:dyDescent="0.25">
      <c r="A17" s="40" t="s">
        <v>89</v>
      </c>
      <c r="B17" s="47">
        <f t="shared" si="0"/>
        <v>-0.67391304347826086</v>
      </c>
      <c r="C17" s="129">
        <f>E17-[1]Germany!E17</f>
        <v>-284</v>
      </c>
      <c r="D17" s="38">
        <f>F17-[1]Germany!F17</f>
        <v>-902</v>
      </c>
      <c r="E17" s="43">
        <v>105</v>
      </c>
      <c r="F17" s="38">
        <v>322</v>
      </c>
      <c r="G17" s="38">
        <v>278</v>
      </c>
      <c r="H17" s="38">
        <v>73</v>
      </c>
      <c r="I17" s="38">
        <v>191</v>
      </c>
      <c r="J17" s="38">
        <v>10</v>
      </c>
      <c r="K17" s="38">
        <v>1120</v>
      </c>
      <c r="L17" s="38">
        <v>1235</v>
      </c>
      <c r="M17" s="38">
        <v>960</v>
      </c>
      <c r="N17" s="38">
        <v>20</v>
      </c>
      <c r="O17" s="38">
        <v>1595</v>
      </c>
      <c r="P17" s="38">
        <v>1567</v>
      </c>
      <c r="Q17" s="38">
        <v>578</v>
      </c>
      <c r="R17" s="38">
        <v>782</v>
      </c>
      <c r="S17" s="38">
        <v>719</v>
      </c>
      <c r="T17" s="38">
        <v>436</v>
      </c>
      <c r="U17" s="65">
        <v>391</v>
      </c>
    </row>
    <row r="18" spans="1:21" x14ac:dyDescent="0.25">
      <c r="A18" s="40" t="s">
        <v>96</v>
      </c>
      <c r="B18" s="47">
        <f t="shared" si="0"/>
        <v>0.53339041095890416</v>
      </c>
      <c r="C18" s="129">
        <f>E18-[1]Germany!E18</f>
        <v>-732</v>
      </c>
      <c r="D18" s="38">
        <f>F18-[1]Germany!F18</f>
        <v>-187</v>
      </c>
      <c r="E18" s="43">
        <v>1791</v>
      </c>
      <c r="F18" s="38">
        <v>1168</v>
      </c>
      <c r="G18" s="38">
        <v>1298</v>
      </c>
      <c r="H18" s="38">
        <v>719</v>
      </c>
      <c r="I18" s="38">
        <v>1820</v>
      </c>
      <c r="J18" s="38">
        <v>118</v>
      </c>
      <c r="K18" s="38">
        <v>589</v>
      </c>
      <c r="L18" s="38">
        <v>884</v>
      </c>
      <c r="M18" s="38">
        <v>745</v>
      </c>
      <c r="N18" s="38">
        <v>877</v>
      </c>
      <c r="O18" s="38">
        <v>1008</v>
      </c>
      <c r="P18" s="38">
        <v>1546</v>
      </c>
      <c r="Q18" s="38">
        <v>1318</v>
      </c>
      <c r="R18" s="38">
        <v>1230</v>
      </c>
      <c r="S18" s="38">
        <v>1199</v>
      </c>
      <c r="T18" s="38">
        <v>1034</v>
      </c>
      <c r="U18" s="65">
        <v>946</v>
      </c>
    </row>
    <row r="19" spans="1:21" x14ac:dyDescent="0.25">
      <c r="A19" s="40" t="s">
        <v>143</v>
      </c>
      <c r="B19" s="47">
        <f t="shared" si="0"/>
        <v>0.32154875489924384</v>
      </c>
      <c r="C19" s="129">
        <f>E19-[1]Germany!E19</f>
        <v>-7507</v>
      </c>
      <c r="D19" s="38">
        <f>F19-[1]Germany!F19</f>
        <v>-6086</v>
      </c>
      <c r="E19" s="43">
        <v>33381</v>
      </c>
      <c r="F19" s="38">
        <v>25259</v>
      </c>
      <c r="G19" s="38">
        <v>28748</v>
      </c>
      <c r="H19" s="38">
        <v>14326</v>
      </c>
      <c r="I19" s="38">
        <v>28957</v>
      </c>
      <c r="J19" s="38">
        <v>9804</v>
      </c>
      <c r="K19" s="38">
        <v>17225</v>
      </c>
      <c r="L19" s="38">
        <v>17565</v>
      </c>
      <c r="M19" s="38">
        <v>18367</v>
      </c>
      <c r="N19" s="38">
        <v>10770</v>
      </c>
      <c r="O19" s="38">
        <v>9843</v>
      </c>
      <c r="P19" s="38">
        <v>7612</v>
      </c>
      <c r="Q19" s="38">
        <v>4559</v>
      </c>
      <c r="R19" s="38">
        <v>5054</v>
      </c>
      <c r="S19" s="38">
        <v>1609</v>
      </c>
      <c r="T19" s="38">
        <v>2059</v>
      </c>
      <c r="U19" s="65">
        <v>780</v>
      </c>
    </row>
    <row r="20" spans="1:21" ht="13.8" thickBot="1" x14ac:dyDescent="0.3">
      <c r="A20" s="41" t="s">
        <v>6</v>
      </c>
      <c r="B20" s="47">
        <f t="shared" si="0"/>
        <v>1.8506156837329877</v>
      </c>
      <c r="C20" s="130">
        <f>E20-[1]Germany!E20</f>
        <v>-2123</v>
      </c>
      <c r="D20" s="38">
        <f>F20-[1]Germany!F20</f>
        <v>-1354</v>
      </c>
      <c r="E20" s="43">
        <v>8797</v>
      </c>
      <c r="F20" s="38">
        <v>3086</v>
      </c>
      <c r="G20" s="38">
        <v>1914</v>
      </c>
      <c r="H20" s="38">
        <v>2539</v>
      </c>
      <c r="I20" s="38">
        <v>2702</v>
      </c>
      <c r="J20" s="38">
        <v>724</v>
      </c>
      <c r="K20" s="37">
        <v>2544</v>
      </c>
      <c r="L20" s="37">
        <v>2070</v>
      </c>
      <c r="M20" s="37">
        <v>4873</v>
      </c>
      <c r="N20" s="37">
        <v>3496</v>
      </c>
      <c r="O20" s="37">
        <v>4698</v>
      </c>
      <c r="P20" s="37">
        <v>4524</v>
      </c>
      <c r="Q20" s="37">
        <v>3406</v>
      </c>
      <c r="R20" s="37">
        <v>3468</v>
      </c>
      <c r="S20" s="37">
        <v>4445</v>
      </c>
      <c r="T20" s="37">
        <v>2951</v>
      </c>
      <c r="U20" s="66">
        <v>2885</v>
      </c>
    </row>
    <row r="21" spans="1:21" ht="13.8" thickBot="1" x14ac:dyDescent="0.3">
      <c r="A21" s="42" t="s">
        <v>92</v>
      </c>
      <c r="B21" s="143">
        <f t="shared" si="0"/>
        <v>1.20000892199942E-3</v>
      </c>
      <c r="C21" s="70">
        <f>E21-[1]Germany!E21</f>
        <v>-57744</v>
      </c>
      <c r="D21" s="46">
        <f>F21-[1]Germany!F21</f>
        <v>-42991</v>
      </c>
      <c r="E21" s="45">
        <f>SUM(E2:E20)</f>
        <v>224434</v>
      </c>
      <c r="F21" s="46">
        <f>SUM(F2:F20)</f>
        <v>224165</v>
      </c>
      <c r="G21" s="46">
        <f>SUM(G2:G20)</f>
        <v>197117</v>
      </c>
      <c r="H21" s="46">
        <f>SUM(H2:H20)</f>
        <v>172043</v>
      </c>
      <c r="I21" s="46">
        <f>SUM(I2:I20)</f>
        <v>252029</v>
      </c>
      <c r="J21" s="46">
        <f t="shared" ref="J21:O21" si="1">SUM(J2:J20)</f>
        <v>112786</v>
      </c>
      <c r="K21" s="46">
        <f t="shared" si="1"/>
        <v>241990</v>
      </c>
      <c r="L21" s="46">
        <f t="shared" si="1"/>
        <v>227370</v>
      </c>
      <c r="M21" s="46">
        <f t="shared" si="1"/>
        <v>239910</v>
      </c>
      <c r="N21" s="46">
        <f t="shared" si="1"/>
        <v>181220</v>
      </c>
      <c r="O21" s="46">
        <f t="shared" si="1"/>
        <v>211093</v>
      </c>
      <c r="P21" s="46">
        <f t="shared" ref="P21:U21" si="2">SUM(P2:P20)</f>
        <v>227696</v>
      </c>
      <c r="Q21" s="46">
        <f t="shared" si="2"/>
        <v>174213</v>
      </c>
      <c r="R21" s="46">
        <f t="shared" si="2"/>
        <v>228822</v>
      </c>
      <c r="S21" s="46">
        <f t="shared" si="2"/>
        <v>197057</v>
      </c>
      <c r="T21" s="46">
        <f t="shared" si="2"/>
        <v>162163</v>
      </c>
      <c r="U21" s="35">
        <f t="shared" si="2"/>
        <v>176675</v>
      </c>
    </row>
    <row r="23" spans="1:21" ht="13.8" thickBot="1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s="52" customFormat="1" ht="13.8" thickBot="1" x14ac:dyDescent="0.3">
      <c r="A24" s="53" t="s">
        <v>25</v>
      </c>
      <c r="B24" s="24" t="s">
        <v>176</v>
      </c>
      <c r="C24" s="49" t="s">
        <v>177</v>
      </c>
      <c r="D24" s="25" t="s">
        <v>173</v>
      </c>
      <c r="E24" s="115">
        <v>44986</v>
      </c>
      <c r="F24" s="25">
        <v>44621</v>
      </c>
      <c r="G24" s="25">
        <v>44256</v>
      </c>
      <c r="H24" s="25">
        <v>43891</v>
      </c>
      <c r="I24" s="25">
        <v>43525</v>
      </c>
      <c r="J24" s="25">
        <v>43160</v>
      </c>
      <c r="K24" s="25">
        <v>42795</v>
      </c>
      <c r="L24" s="25">
        <v>42430</v>
      </c>
      <c r="M24" s="25">
        <f>M1</f>
        <v>42064</v>
      </c>
      <c r="N24" s="25">
        <v>41699</v>
      </c>
      <c r="O24" s="25">
        <v>41334</v>
      </c>
      <c r="P24" s="25">
        <v>40969</v>
      </c>
      <c r="Q24" s="25">
        <v>40603</v>
      </c>
      <c r="R24" s="25">
        <v>40238</v>
      </c>
      <c r="S24" s="25">
        <v>39873</v>
      </c>
      <c r="T24" s="25">
        <v>39508</v>
      </c>
      <c r="U24" s="26">
        <v>39142</v>
      </c>
    </row>
    <row r="25" spans="1:21" s="52" customFormat="1" ht="13.8" thickBot="1" x14ac:dyDescent="0.3">
      <c r="A25" s="58" t="s">
        <v>6</v>
      </c>
      <c r="B25" s="85">
        <f>(E25-F25)/F25</f>
        <v>-0.52005347593582885</v>
      </c>
      <c r="C25" s="131">
        <f>E25-[1]Germany!E25</f>
        <v>-757</v>
      </c>
      <c r="D25" s="60">
        <f>F25-[1]Germany!F25</f>
        <v>192</v>
      </c>
      <c r="E25" s="59">
        <v>718</v>
      </c>
      <c r="F25" s="60">
        <v>1496</v>
      </c>
      <c r="G25" s="60">
        <v>1554</v>
      </c>
      <c r="H25" s="60">
        <v>1140</v>
      </c>
      <c r="I25" s="60">
        <v>1197</v>
      </c>
      <c r="J25" s="60">
        <v>1063</v>
      </c>
      <c r="K25" s="60">
        <v>158</v>
      </c>
      <c r="L25" s="60">
        <v>322</v>
      </c>
      <c r="M25" s="60">
        <v>992</v>
      </c>
      <c r="N25" s="60">
        <v>630</v>
      </c>
      <c r="O25" s="60">
        <v>139</v>
      </c>
      <c r="P25" s="60">
        <v>557</v>
      </c>
      <c r="Q25" s="60">
        <v>158</v>
      </c>
      <c r="R25" s="60">
        <v>444</v>
      </c>
      <c r="S25" s="60">
        <v>196</v>
      </c>
      <c r="T25" s="60">
        <v>260</v>
      </c>
      <c r="U25" s="68">
        <v>118</v>
      </c>
    </row>
    <row r="26" spans="1:21" s="52" customFormat="1" ht="13.8" thickBot="1" x14ac:dyDescent="0.3">
      <c r="A26" s="61" t="s">
        <v>92</v>
      </c>
      <c r="B26" s="62">
        <f>(E26-F26)/F26</f>
        <v>-0.52005347593582885</v>
      </c>
      <c r="C26" s="70">
        <f>E26-[1]Germany!E26</f>
        <v>-757</v>
      </c>
      <c r="D26" s="80">
        <f>F26-[1]Germany!F26</f>
        <v>192</v>
      </c>
      <c r="E26" s="146">
        <v>718</v>
      </c>
      <c r="F26" s="147">
        <v>1496</v>
      </c>
      <c r="G26" s="80">
        <v>1554</v>
      </c>
      <c r="H26" s="80">
        <f>SUM(H25)</f>
        <v>1140</v>
      </c>
      <c r="I26" s="80">
        <f>SUM(I25)</f>
        <v>1197</v>
      </c>
      <c r="J26" s="80">
        <f t="shared" ref="J26:O26" si="3">SUM(J25)</f>
        <v>1063</v>
      </c>
      <c r="K26" s="80">
        <f t="shared" si="3"/>
        <v>158</v>
      </c>
      <c r="L26" s="80">
        <f t="shared" si="3"/>
        <v>322</v>
      </c>
      <c r="M26" s="80">
        <f t="shared" si="3"/>
        <v>992</v>
      </c>
      <c r="N26" s="80">
        <f t="shared" si="3"/>
        <v>630</v>
      </c>
      <c r="O26" s="80">
        <f t="shared" si="3"/>
        <v>139</v>
      </c>
      <c r="P26" s="80">
        <f t="shared" ref="P26:U26" si="4">SUM(P25)</f>
        <v>557</v>
      </c>
      <c r="Q26" s="80">
        <f t="shared" si="4"/>
        <v>158</v>
      </c>
      <c r="R26" s="80">
        <f t="shared" si="4"/>
        <v>444</v>
      </c>
      <c r="S26" s="80">
        <f t="shared" si="4"/>
        <v>196</v>
      </c>
      <c r="T26" s="64">
        <f t="shared" si="4"/>
        <v>260</v>
      </c>
      <c r="U26" s="69">
        <f t="shared" si="4"/>
        <v>118</v>
      </c>
    </row>
    <row r="27" spans="1:21" s="52" customFormat="1" x14ac:dyDescent="0.25"/>
    <row r="28" spans="1:21" s="52" customFormat="1" x14ac:dyDescent="0.25"/>
    <row r="29" spans="1:21" s="52" customFormat="1" x14ac:dyDescent="0.25"/>
  </sheetData>
  <pageMargins left="0.75" right="0.75" top="1" bottom="1" header="0.5" footer="0.5"/>
  <pageSetup paperSize="9" scale="66" fitToHeight="3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7"/>
  <sheetViews>
    <sheetView workbookViewId="0"/>
  </sheetViews>
  <sheetFormatPr defaultColWidth="8.77734375" defaultRowHeight="13.2" x14ac:dyDescent="0.25"/>
  <cols>
    <col min="1" max="1" width="19.6640625" customWidth="1"/>
    <col min="2" max="3" width="10.6640625" customWidth="1"/>
    <col min="4" max="4" width="11.33203125" bestFit="1" customWidth="1"/>
    <col min="5" max="10" width="11.33203125" customWidth="1"/>
    <col min="11" max="11" width="10.109375" bestFit="1" customWidth="1"/>
    <col min="12" max="15" width="10.109375" style="3" bestFit="1" customWidth="1"/>
    <col min="16" max="21" width="10.109375" bestFit="1" customWidth="1"/>
  </cols>
  <sheetData>
    <row r="1" spans="1:21" ht="13.8" thickBot="1" x14ac:dyDescent="0.3">
      <c r="A1" s="23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1" x14ac:dyDescent="0.25">
      <c r="A2" s="20" t="s">
        <v>20</v>
      </c>
      <c r="B2" s="101"/>
      <c r="C2" s="50">
        <f>E2-[1]Italy!E2</f>
        <v>-5000</v>
      </c>
      <c r="D2" s="1">
        <f>F2-[1]Italy!F2</f>
        <v>-5000</v>
      </c>
      <c r="E2" s="114">
        <v>0</v>
      </c>
      <c r="F2" s="1">
        <v>0</v>
      </c>
      <c r="G2" s="1"/>
      <c r="H2" s="1">
        <v>0</v>
      </c>
      <c r="I2" s="1">
        <v>0</v>
      </c>
      <c r="J2" s="1"/>
      <c r="K2" s="1">
        <v>0</v>
      </c>
      <c r="L2" s="38">
        <v>0</v>
      </c>
      <c r="M2" s="38">
        <v>0</v>
      </c>
      <c r="N2" s="38"/>
      <c r="O2" s="38"/>
      <c r="P2" s="1">
        <v>1104.4162792295535</v>
      </c>
      <c r="Q2" s="1">
        <v>0</v>
      </c>
      <c r="R2" s="1">
        <v>0</v>
      </c>
      <c r="S2" s="1">
        <v>0</v>
      </c>
      <c r="T2" s="1">
        <v>0</v>
      </c>
      <c r="U2" s="29">
        <v>10000</v>
      </c>
    </row>
    <row r="3" spans="1:21" x14ac:dyDescent="0.25">
      <c r="A3" s="20" t="s">
        <v>11</v>
      </c>
      <c r="B3" s="101">
        <f>(E3-F3)/F3</f>
        <v>-0.20697175545227028</v>
      </c>
      <c r="C3" s="50">
        <f>E3-[1]Italy!E3</f>
        <v>-1753</v>
      </c>
      <c r="D3" s="1">
        <f>F3-[1]Italy!F3</f>
        <v>-2058</v>
      </c>
      <c r="E3" s="114">
        <v>22181</v>
      </c>
      <c r="F3" s="1">
        <v>27970</v>
      </c>
      <c r="G3" s="1">
        <v>28651.8</v>
      </c>
      <c r="H3" s="1">
        <v>34169</v>
      </c>
      <c r="I3" s="1">
        <v>42330.76</v>
      </c>
      <c r="J3" s="1">
        <v>29352.109999999997</v>
      </c>
      <c r="K3" s="1">
        <v>46137.4</v>
      </c>
      <c r="L3" s="38">
        <v>41096.800000000003</v>
      </c>
      <c r="M3" s="38">
        <v>43408</v>
      </c>
      <c r="N3" s="38">
        <v>47284</v>
      </c>
      <c r="O3" s="38">
        <v>35420</v>
      </c>
      <c r="P3" s="1">
        <v>50557.611649993916</v>
      </c>
      <c r="Q3" s="1">
        <v>45432</v>
      </c>
      <c r="R3" s="1">
        <v>48875.29</v>
      </c>
      <c r="S3" s="1">
        <v>40013</v>
      </c>
      <c r="T3" s="1">
        <v>38248</v>
      </c>
      <c r="U3" s="29">
        <v>33048</v>
      </c>
    </row>
    <row r="4" spans="1:21" x14ac:dyDescent="0.25">
      <c r="A4" s="20" t="s">
        <v>61</v>
      </c>
      <c r="B4" s="101">
        <f>(E4-F4)/F4</f>
        <v>0.50437491410508961</v>
      </c>
      <c r="C4" s="50">
        <f>E4-[1]Italy!E4</f>
        <v>-15314</v>
      </c>
      <c r="D4" s="1">
        <f>F4-[1]Italy!F4</f>
        <v>-14913</v>
      </c>
      <c r="E4" s="114">
        <v>65678</v>
      </c>
      <c r="F4" s="1">
        <v>43658</v>
      </c>
      <c r="G4" s="1">
        <v>52102.8</v>
      </c>
      <c r="H4" s="1">
        <v>37908</v>
      </c>
      <c r="I4" s="1">
        <v>48567.83</v>
      </c>
      <c r="J4" s="1">
        <v>38443.21</v>
      </c>
      <c r="K4" s="1">
        <v>53716.800000000003</v>
      </c>
      <c r="L4" s="38">
        <v>39035.599999999999</v>
      </c>
      <c r="M4" s="38">
        <v>56548</v>
      </c>
      <c r="N4" s="38">
        <v>30486</v>
      </c>
      <c r="O4" s="38">
        <v>22756</v>
      </c>
      <c r="P4" s="1">
        <v>42774.583678581286</v>
      </c>
      <c r="Q4" s="1">
        <v>22638</v>
      </c>
      <c r="R4" s="1"/>
      <c r="S4" s="1"/>
      <c r="T4" s="1"/>
      <c r="U4" s="29"/>
    </row>
    <row r="5" spans="1:21" x14ac:dyDescent="0.25">
      <c r="A5" s="20" t="s">
        <v>2</v>
      </c>
      <c r="B5" s="101"/>
      <c r="C5" s="50">
        <f>E5-[1]Italy!E5</f>
        <v>0</v>
      </c>
      <c r="D5" s="1">
        <f>F5-[1]Italy!F5</f>
        <v>0</v>
      </c>
      <c r="E5" s="114"/>
      <c r="F5" s="1"/>
      <c r="G5" s="1"/>
      <c r="H5" s="1">
        <v>0</v>
      </c>
      <c r="I5" s="1">
        <v>0</v>
      </c>
      <c r="J5" s="1">
        <v>0</v>
      </c>
      <c r="K5" s="1">
        <v>0</v>
      </c>
      <c r="L5" s="38">
        <v>2</v>
      </c>
      <c r="M5" s="38"/>
      <c r="N5" s="38">
        <v>3</v>
      </c>
      <c r="O5" s="38"/>
      <c r="P5" s="1">
        <v>8.0175410470385025</v>
      </c>
      <c r="Q5" s="1"/>
      <c r="R5" s="1">
        <v>34</v>
      </c>
      <c r="S5" s="1">
        <v>0</v>
      </c>
      <c r="T5" s="1">
        <v>10</v>
      </c>
      <c r="U5" s="29">
        <v>10</v>
      </c>
    </row>
    <row r="6" spans="1:21" x14ac:dyDescent="0.25">
      <c r="A6" s="20" t="s">
        <v>12</v>
      </c>
      <c r="B6" s="101">
        <f>(E6-F6)/F6</f>
        <v>-0.1082404350669027</v>
      </c>
      <c r="C6" s="50">
        <f>E6-[1]Italy!E6</f>
        <v>-17852</v>
      </c>
      <c r="D6" s="1">
        <f>F6-[1]Italy!F6</f>
        <v>-15629</v>
      </c>
      <c r="E6" s="114">
        <v>55916</v>
      </c>
      <c r="F6" s="1">
        <v>62703</v>
      </c>
      <c r="G6" s="1">
        <v>68797</v>
      </c>
      <c r="H6" s="1">
        <v>59184</v>
      </c>
      <c r="I6" s="1">
        <v>76693.94</v>
      </c>
      <c r="J6" s="1">
        <v>50932.625</v>
      </c>
      <c r="K6" s="1">
        <v>66776.23</v>
      </c>
      <c r="L6" s="38">
        <v>87474.613000000012</v>
      </c>
      <c r="M6" s="38">
        <v>79151</v>
      </c>
      <c r="N6" s="38">
        <v>79174</v>
      </c>
      <c r="O6" s="38">
        <v>44485</v>
      </c>
      <c r="P6" s="1">
        <v>63472.868084142057</v>
      </c>
      <c r="Q6" s="1">
        <v>73053</v>
      </c>
      <c r="R6" s="1">
        <v>60830.92</v>
      </c>
      <c r="S6" s="1">
        <v>57133.4</v>
      </c>
      <c r="T6" s="1">
        <v>52362.9</v>
      </c>
      <c r="U6" s="29">
        <v>38768</v>
      </c>
    </row>
    <row r="7" spans="1:21" x14ac:dyDescent="0.25">
      <c r="A7" s="20" t="s">
        <v>9</v>
      </c>
      <c r="B7" s="101">
        <f>(E7-F7)/F7</f>
        <v>-0.5143078991723955</v>
      </c>
      <c r="C7" s="50">
        <f>E7-[1]Italy!E7</f>
        <v>-31182</v>
      </c>
      <c r="D7" s="1">
        <f>F7-[1]Italy!F7</f>
        <v>-32007</v>
      </c>
      <c r="E7" s="114">
        <v>25646</v>
      </c>
      <c r="F7" s="1">
        <v>52803</v>
      </c>
      <c r="G7" s="1">
        <v>42477.509999999995</v>
      </c>
      <c r="H7" s="1">
        <v>47048</v>
      </c>
      <c r="I7" s="1">
        <v>42119.95</v>
      </c>
      <c r="J7" s="1">
        <v>13515</v>
      </c>
      <c r="K7" s="1">
        <v>30577.780000000002</v>
      </c>
      <c r="L7" s="38">
        <v>15271.122000000001</v>
      </c>
      <c r="M7" s="38">
        <v>29179</v>
      </c>
      <c r="N7" s="38">
        <v>23186</v>
      </c>
      <c r="O7" s="38">
        <v>14031</v>
      </c>
      <c r="P7" s="1">
        <v>24320.208573560416</v>
      </c>
      <c r="Q7" s="1">
        <v>26151</v>
      </c>
      <c r="R7" s="1">
        <v>20743.63</v>
      </c>
      <c r="S7" s="1">
        <v>29535.3</v>
      </c>
      <c r="T7" s="1">
        <v>17193.900000000001</v>
      </c>
      <c r="U7" s="29">
        <v>10189</v>
      </c>
    </row>
    <row r="8" spans="1:21" x14ac:dyDescent="0.25">
      <c r="A8" s="20" t="s">
        <v>14</v>
      </c>
      <c r="B8" s="101"/>
      <c r="C8" s="50">
        <f>E8-[1]Italy!E8</f>
        <v>0</v>
      </c>
      <c r="D8" s="1">
        <f>F8-[1]Italy!F8</f>
        <v>0</v>
      </c>
      <c r="E8" s="114"/>
      <c r="F8" s="1"/>
      <c r="G8" s="1"/>
      <c r="H8" s="1">
        <v>0</v>
      </c>
      <c r="I8" s="1">
        <v>5</v>
      </c>
      <c r="J8" s="1">
        <v>5</v>
      </c>
      <c r="K8" s="1">
        <v>11</v>
      </c>
      <c r="L8" s="38">
        <v>7</v>
      </c>
      <c r="M8" s="38">
        <v>20</v>
      </c>
      <c r="N8" s="38">
        <v>15</v>
      </c>
      <c r="O8" s="38"/>
      <c r="P8" s="1">
        <v>34.074549449913633</v>
      </c>
      <c r="Q8" s="1"/>
      <c r="R8" s="1">
        <v>121.97</v>
      </c>
      <c r="S8" s="1">
        <v>211.5</v>
      </c>
      <c r="T8" s="1">
        <v>149.6</v>
      </c>
      <c r="U8" s="29">
        <v>368</v>
      </c>
    </row>
    <row r="9" spans="1:21" x14ac:dyDescent="0.25">
      <c r="A9" s="20" t="s">
        <v>3</v>
      </c>
      <c r="B9" s="101">
        <f>(E9-F9)/F9</f>
        <v>-0.27913516813875394</v>
      </c>
      <c r="C9" s="50">
        <f>E9-[1]Italy!E9</f>
        <v>-51314</v>
      </c>
      <c r="D9" s="1">
        <f>F9-[1]Italy!F9</f>
        <v>-59179</v>
      </c>
      <c r="E9" s="114">
        <v>278633</v>
      </c>
      <c r="F9" s="1">
        <v>386526</v>
      </c>
      <c r="G9" s="1">
        <v>355454.5</v>
      </c>
      <c r="H9" s="1">
        <v>396281</v>
      </c>
      <c r="I9" s="1">
        <v>442897.19</v>
      </c>
      <c r="J9" s="1">
        <v>219090</v>
      </c>
      <c r="K9" s="76">
        <v>494538.34499999991</v>
      </c>
      <c r="L9" s="95">
        <v>481663.924</v>
      </c>
      <c r="M9" s="95">
        <v>512628</v>
      </c>
      <c r="N9" s="95">
        <v>430066</v>
      </c>
      <c r="O9" s="95">
        <v>421014</v>
      </c>
      <c r="P9" s="76">
        <v>475064.36185280321</v>
      </c>
      <c r="Q9" s="76">
        <v>457811</v>
      </c>
      <c r="R9" s="76">
        <v>473349.34</v>
      </c>
      <c r="S9" s="76">
        <v>502652.3</v>
      </c>
      <c r="T9" s="1">
        <v>419737.1</v>
      </c>
      <c r="U9" s="29">
        <v>428678</v>
      </c>
    </row>
    <row r="10" spans="1:21" x14ac:dyDescent="0.25">
      <c r="A10" s="20" t="s">
        <v>17</v>
      </c>
      <c r="B10" s="101">
        <f>(E10-F10)/F10</f>
        <v>0.57264300465875795</v>
      </c>
      <c r="C10" s="50">
        <f>E10-[1]Italy!E10</f>
        <v>-17668</v>
      </c>
      <c r="D10" s="1">
        <f>F10-[1]Italy!F10</f>
        <v>-18132</v>
      </c>
      <c r="E10" s="114">
        <v>65488</v>
      </c>
      <c r="F10" s="1">
        <v>41642</v>
      </c>
      <c r="G10" s="1">
        <v>68590.25</v>
      </c>
      <c r="H10" s="1">
        <v>40829</v>
      </c>
      <c r="I10" s="1">
        <v>56094.15</v>
      </c>
      <c r="J10" s="1">
        <v>55712.184999999998</v>
      </c>
      <c r="K10" s="76">
        <v>54815.794999999998</v>
      </c>
      <c r="L10" s="95">
        <v>65226.170000000006</v>
      </c>
      <c r="M10" s="95">
        <v>68010</v>
      </c>
      <c r="N10" s="95">
        <v>52976</v>
      </c>
      <c r="O10" s="95">
        <v>31257</v>
      </c>
      <c r="P10" s="76">
        <v>42513.011401921656</v>
      </c>
      <c r="Q10" s="76">
        <v>42678</v>
      </c>
      <c r="R10" s="76">
        <v>37782.28</v>
      </c>
      <c r="S10" s="76">
        <v>37822.199999999997</v>
      </c>
      <c r="T10" s="1">
        <v>23003.200000000001</v>
      </c>
      <c r="U10" s="29">
        <v>30661</v>
      </c>
    </row>
    <row r="11" spans="1:21" x14ac:dyDescent="0.25">
      <c r="A11" s="20" t="s">
        <v>10</v>
      </c>
      <c r="B11" s="101"/>
      <c r="C11" s="50">
        <f>E11-[1]Italy!E11</f>
        <v>0</v>
      </c>
      <c r="D11" s="1">
        <f>F11-[1]Italy!F11</f>
        <v>0</v>
      </c>
      <c r="E11" s="114"/>
      <c r="F11" s="1"/>
      <c r="G11" s="1"/>
      <c r="H11" s="1">
        <v>0</v>
      </c>
      <c r="I11" s="1">
        <v>40</v>
      </c>
      <c r="J11" s="1">
        <v>797</v>
      </c>
      <c r="K11" s="76">
        <v>635</v>
      </c>
      <c r="L11" s="95">
        <v>1359.3</v>
      </c>
      <c r="M11" s="95">
        <v>644</v>
      </c>
      <c r="N11" s="95">
        <v>2103</v>
      </c>
      <c r="O11" s="95">
        <v>1830</v>
      </c>
      <c r="P11" s="76">
        <v>2024.4291143772218</v>
      </c>
      <c r="Q11" s="76"/>
      <c r="R11" s="76">
        <v>2885.25</v>
      </c>
      <c r="S11" s="76">
        <v>3320</v>
      </c>
      <c r="T11" s="1">
        <v>3335.8</v>
      </c>
      <c r="U11" s="29">
        <v>3714</v>
      </c>
    </row>
    <row r="12" spans="1:21" x14ac:dyDescent="0.25">
      <c r="A12" s="20" t="s">
        <v>27</v>
      </c>
      <c r="B12" s="101">
        <f>(E12-F12)/F12</f>
        <v>-0.44943165257942291</v>
      </c>
      <c r="C12" s="50">
        <f>E12-[1]Italy!E12</f>
        <v>-116</v>
      </c>
      <c r="D12" s="1">
        <f>F12-[1]Italy!F12</f>
        <v>-54</v>
      </c>
      <c r="E12" s="114">
        <v>1889</v>
      </c>
      <c r="F12" s="1">
        <v>3431</v>
      </c>
      <c r="G12" s="1">
        <v>2017</v>
      </c>
      <c r="H12" s="1">
        <v>4131</v>
      </c>
      <c r="I12" s="1">
        <v>4405.95</v>
      </c>
      <c r="J12" s="1">
        <v>3226</v>
      </c>
      <c r="K12" s="76">
        <v>4226</v>
      </c>
      <c r="L12" s="95">
        <v>7546.7</v>
      </c>
      <c r="M12" s="95">
        <v>7447</v>
      </c>
      <c r="N12" s="95">
        <v>9984</v>
      </c>
      <c r="O12" s="95">
        <v>6901</v>
      </c>
      <c r="P12" s="76">
        <v>10692.393178856722</v>
      </c>
      <c r="Q12" s="76"/>
      <c r="R12" s="76">
        <v>15364.66</v>
      </c>
      <c r="S12" s="76">
        <v>15768</v>
      </c>
      <c r="T12" s="1">
        <v>16755.2</v>
      </c>
      <c r="U12" s="29">
        <v>14892</v>
      </c>
    </row>
    <row r="13" spans="1:21" x14ac:dyDescent="0.25">
      <c r="A13" s="20" t="s">
        <v>50</v>
      </c>
      <c r="B13" s="101"/>
      <c r="C13" s="50">
        <f>E13-[1]Italy!E13</f>
        <v>0</v>
      </c>
      <c r="D13" s="1">
        <f>F13-[1]Italy!F13</f>
        <v>0</v>
      </c>
      <c r="E13" s="114"/>
      <c r="F13" s="1"/>
      <c r="G13" s="1"/>
      <c r="H13" s="1">
        <v>0</v>
      </c>
      <c r="I13" s="1">
        <v>0</v>
      </c>
      <c r="J13" s="1">
        <v>0</v>
      </c>
      <c r="K13" s="76">
        <v>0</v>
      </c>
      <c r="L13" s="95">
        <v>0</v>
      </c>
      <c r="M13" s="95">
        <v>12</v>
      </c>
      <c r="N13" s="95"/>
      <c r="O13" s="95"/>
      <c r="P13" s="76">
        <v>2.0043852617596256</v>
      </c>
      <c r="Q13" s="76"/>
      <c r="R13" s="76">
        <v>2</v>
      </c>
      <c r="S13" s="76">
        <v>42</v>
      </c>
      <c r="T13" s="1">
        <v>0</v>
      </c>
      <c r="U13" s="29">
        <v>24</v>
      </c>
    </row>
    <row r="14" spans="1:21" x14ac:dyDescent="0.25">
      <c r="A14" s="20" t="s">
        <v>106</v>
      </c>
      <c r="B14" s="101">
        <f>(E14-F14)/F14</f>
        <v>-0.2908989391401452</v>
      </c>
      <c r="C14" s="50">
        <f>E14-[1]Italy!E14</f>
        <v>-2390</v>
      </c>
      <c r="D14" s="1">
        <f>F14-[1]Italy!F14</f>
        <v>-2378</v>
      </c>
      <c r="E14" s="114">
        <v>7620</v>
      </c>
      <c r="F14" s="1">
        <v>10746</v>
      </c>
      <c r="G14" s="1">
        <v>10891.4</v>
      </c>
      <c r="H14" s="1">
        <v>7867</v>
      </c>
      <c r="I14" s="1">
        <v>10759.900000000001</v>
      </c>
      <c r="J14" s="1">
        <v>5840.4</v>
      </c>
      <c r="K14" s="76">
        <v>11542.099999999999</v>
      </c>
      <c r="L14" s="95">
        <v>13492.05</v>
      </c>
      <c r="M14" s="95">
        <v>19319</v>
      </c>
      <c r="N14" s="95">
        <v>15744</v>
      </c>
      <c r="O14" s="95">
        <v>14963</v>
      </c>
      <c r="P14" s="76">
        <v>9340.4353197998553</v>
      </c>
      <c r="Q14" s="76">
        <v>24617</v>
      </c>
      <c r="R14" s="76">
        <v>14982.9</v>
      </c>
      <c r="S14" s="76">
        <v>28339.9</v>
      </c>
      <c r="T14" s="1">
        <v>18434.7</v>
      </c>
      <c r="U14" s="29">
        <v>25194</v>
      </c>
    </row>
    <row r="15" spans="1:21" x14ac:dyDescent="0.25">
      <c r="A15" s="20" t="s">
        <v>13</v>
      </c>
      <c r="B15" s="101">
        <f>(E15-F15)/F15</f>
        <v>4.1930646099225657E-2</v>
      </c>
      <c r="C15" s="50">
        <f>E15-[1]Italy!E15</f>
        <v>-1534</v>
      </c>
      <c r="D15" s="1">
        <f>F15-[1]Italy!F15</f>
        <v>-2180</v>
      </c>
      <c r="E15" s="114">
        <v>34043</v>
      </c>
      <c r="F15" s="1">
        <v>32673</v>
      </c>
      <c r="G15" s="1">
        <v>33980.699999999997</v>
      </c>
      <c r="H15" s="1">
        <v>26603</v>
      </c>
      <c r="I15" s="1">
        <v>26474.120000000003</v>
      </c>
      <c r="J15" s="1"/>
      <c r="K15" s="76"/>
      <c r="L15" s="95"/>
      <c r="M15" s="95"/>
      <c r="N15" s="95"/>
      <c r="O15" s="95"/>
      <c r="P15" s="76"/>
      <c r="Q15" s="76"/>
      <c r="R15" s="76"/>
      <c r="S15" s="76"/>
      <c r="T15" s="1"/>
      <c r="U15" s="29"/>
    </row>
    <row r="16" spans="1:21" x14ac:dyDescent="0.25">
      <c r="A16" s="20" t="s">
        <v>19</v>
      </c>
      <c r="B16" s="101">
        <f>(E16-F16)/F16</f>
        <v>5.5442043222003932E-2</v>
      </c>
      <c r="C16" s="50">
        <f>E16-[1]Italy!E16</f>
        <v>-28765</v>
      </c>
      <c r="D16" s="1">
        <f>F16-[1]Italy!F16</f>
        <v>-20493</v>
      </c>
      <c r="E16" s="114">
        <v>80583</v>
      </c>
      <c r="F16" s="1">
        <v>76350</v>
      </c>
      <c r="G16" s="1">
        <v>99134.67</v>
      </c>
      <c r="H16" s="1">
        <v>76591</v>
      </c>
      <c r="I16" s="1">
        <v>101783.61</v>
      </c>
      <c r="J16" s="1">
        <v>58765.02</v>
      </c>
      <c r="K16" s="76">
        <v>101763.83999999998</v>
      </c>
      <c r="L16" s="95">
        <v>90596.74</v>
      </c>
      <c r="M16" s="95">
        <v>90299</v>
      </c>
      <c r="N16" s="95">
        <v>91934</v>
      </c>
      <c r="O16" s="95">
        <v>64011</v>
      </c>
      <c r="P16" s="76">
        <v>77652.891618460533</v>
      </c>
      <c r="Q16" s="76">
        <v>84957</v>
      </c>
      <c r="R16" s="76">
        <v>100588.14</v>
      </c>
      <c r="S16" s="76">
        <v>80977.8</v>
      </c>
      <c r="T16" s="1">
        <v>60305.599999999999</v>
      </c>
      <c r="U16" s="29">
        <v>89479</v>
      </c>
    </row>
    <row r="17" spans="1:21" x14ac:dyDescent="0.25">
      <c r="A17" s="20" t="s">
        <v>107</v>
      </c>
      <c r="B17" s="101">
        <f>(E17-F17)/F17</f>
        <v>0.91401717335808774</v>
      </c>
      <c r="C17" s="50">
        <f>E17-[1]Italy!E17</f>
        <v>-3224</v>
      </c>
      <c r="D17" s="1">
        <f>F17-[1]Italy!F17</f>
        <v>-2797</v>
      </c>
      <c r="E17" s="114">
        <v>16495</v>
      </c>
      <c r="F17" s="1">
        <v>8618</v>
      </c>
      <c r="G17" s="1">
        <v>16432.86</v>
      </c>
      <c r="H17" s="1">
        <v>8759</v>
      </c>
      <c r="I17" s="1">
        <v>15787.9</v>
      </c>
      <c r="J17" s="1">
        <v>942</v>
      </c>
      <c r="K17" s="76">
        <v>12258.9</v>
      </c>
      <c r="L17" s="95">
        <v>11028.9</v>
      </c>
      <c r="M17" s="95">
        <v>11792</v>
      </c>
      <c r="N17" s="95">
        <v>9034</v>
      </c>
      <c r="O17" s="95">
        <v>5141</v>
      </c>
      <c r="P17" s="76">
        <v>5856.8137348616256</v>
      </c>
      <c r="Q17" s="76">
        <v>9193</v>
      </c>
      <c r="R17" s="76">
        <v>6688.91</v>
      </c>
      <c r="S17" s="76">
        <v>4417.5</v>
      </c>
      <c r="T17" s="1">
        <v>8042.8</v>
      </c>
      <c r="U17" s="29">
        <v>2015</v>
      </c>
    </row>
    <row r="18" spans="1:21" x14ac:dyDescent="0.25">
      <c r="A18" s="20" t="s">
        <v>21</v>
      </c>
      <c r="B18" s="101"/>
      <c r="C18" s="50">
        <f>E18-[1]Italy!E18</f>
        <v>0</v>
      </c>
      <c r="D18" s="1">
        <f>F18-[1]Italy!F18</f>
        <v>0</v>
      </c>
      <c r="E18" s="114"/>
      <c r="F18" s="1"/>
      <c r="G18" s="1"/>
      <c r="H18" s="1"/>
      <c r="I18" s="1">
        <v>2480.0500000000002</v>
      </c>
      <c r="J18" s="1">
        <v>1695.01</v>
      </c>
      <c r="K18" s="76">
        <v>6154.4000000000005</v>
      </c>
      <c r="L18" s="95">
        <v>6027.4</v>
      </c>
      <c r="M18" s="95">
        <v>6896</v>
      </c>
      <c r="N18" s="95">
        <v>4531</v>
      </c>
      <c r="O18" s="95">
        <v>2000</v>
      </c>
      <c r="P18" s="76">
        <v>5371.7525015157962</v>
      </c>
      <c r="Q18" s="76"/>
      <c r="R18" s="76">
        <v>3539.44</v>
      </c>
      <c r="S18" s="76">
        <v>4640</v>
      </c>
      <c r="T18" s="1">
        <v>2344</v>
      </c>
      <c r="U18" s="29">
        <v>6490</v>
      </c>
    </row>
    <row r="19" spans="1:21" ht="13.8" thickBot="1" x14ac:dyDescent="0.3">
      <c r="A19" s="22" t="s">
        <v>59</v>
      </c>
      <c r="B19" s="101">
        <f>(E19-F19)/F19</f>
        <v>0.38392790460305209</v>
      </c>
      <c r="C19" s="51">
        <f>E19-[1]Italy!E19</f>
        <v>-20490</v>
      </c>
      <c r="D19" s="10">
        <f>F19-[1]Italy!F19</f>
        <v>-16330</v>
      </c>
      <c r="E19" s="116">
        <v>111182</v>
      </c>
      <c r="F19" s="10">
        <v>80338</v>
      </c>
      <c r="G19" s="10">
        <f>9653+43043</f>
        <v>52696</v>
      </c>
      <c r="H19" s="10">
        <f>(6347+35320)</f>
        <v>41667</v>
      </c>
      <c r="I19" s="10">
        <v>43037.700000000004</v>
      </c>
      <c r="J19" s="10">
        <v>26136.480000000003</v>
      </c>
      <c r="K19" s="77">
        <v>50768.899999999994</v>
      </c>
      <c r="L19" s="96">
        <v>37638.1</v>
      </c>
      <c r="M19" s="96">
        <v>36655</v>
      </c>
      <c r="N19" s="96">
        <v>28697</v>
      </c>
      <c r="O19" s="96">
        <v>15824</v>
      </c>
      <c r="P19" s="77">
        <v>20626.126536137424</v>
      </c>
      <c r="Q19" s="77">
        <v>36302</v>
      </c>
      <c r="R19" s="77">
        <v>54842.93</v>
      </c>
      <c r="S19" s="77">
        <v>30129</v>
      </c>
      <c r="T19" s="10">
        <v>23711.5</v>
      </c>
      <c r="U19" s="31">
        <v>37869</v>
      </c>
    </row>
    <row r="20" spans="1:21" ht="13.8" thickBot="1" x14ac:dyDescent="0.3">
      <c r="A20" s="32" t="s">
        <v>23</v>
      </c>
      <c r="B20" s="138">
        <f>(E20-F20)/F20</f>
        <v>-7.505396044270525E-2</v>
      </c>
      <c r="C20" s="70">
        <f>E20-[1]Italy!E20</f>
        <v>-196602</v>
      </c>
      <c r="D20" s="34">
        <f>F20-[1]Italy!F20</f>
        <v>-191150</v>
      </c>
      <c r="E20" s="117">
        <f>SUM(E2:E19)</f>
        <v>765354</v>
      </c>
      <c r="F20" s="34">
        <f>SUM(F2:F19)</f>
        <v>827458</v>
      </c>
      <c r="G20" s="34">
        <f>SUM(G2:G19)</f>
        <v>831226.49</v>
      </c>
      <c r="H20" s="34">
        <f>SUM(H2:H19)</f>
        <v>781037</v>
      </c>
      <c r="I20" s="34">
        <f>SUM(I2:I19)</f>
        <v>913478.04999999993</v>
      </c>
      <c r="J20" s="34">
        <f t="shared" ref="J20:O20" si="0">SUM(J2:J19)</f>
        <v>504452.04000000004</v>
      </c>
      <c r="K20" s="34">
        <f t="shared" si="0"/>
        <v>933922.49</v>
      </c>
      <c r="L20" s="34">
        <f t="shared" si="0"/>
        <v>897466.41900000011</v>
      </c>
      <c r="M20" s="34">
        <f t="shared" si="0"/>
        <v>962008</v>
      </c>
      <c r="N20" s="34">
        <f t="shared" si="0"/>
        <v>825217</v>
      </c>
      <c r="O20" s="34">
        <f t="shared" si="0"/>
        <v>679633</v>
      </c>
      <c r="P20" s="34">
        <f t="shared" ref="P20:U20" si="1">SUM(P2:P19)</f>
        <v>831416</v>
      </c>
      <c r="Q20" s="34">
        <f t="shared" si="1"/>
        <v>822832</v>
      </c>
      <c r="R20" s="34">
        <f t="shared" si="1"/>
        <v>840631.66000000015</v>
      </c>
      <c r="S20" s="34">
        <f t="shared" si="1"/>
        <v>835001.9</v>
      </c>
      <c r="T20" s="34">
        <f t="shared" si="1"/>
        <v>683634.29999999993</v>
      </c>
      <c r="U20" s="35">
        <f t="shared" si="1"/>
        <v>731399</v>
      </c>
    </row>
    <row r="21" spans="1:21" x14ac:dyDescent="0.25"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2" spans="1:21" ht="13.8" thickBot="1" x14ac:dyDescent="0.3"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3" spans="1:21" ht="13.8" thickBot="1" x14ac:dyDescent="0.3">
      <c r="A23" s="23" t="s">
        <v>25</v>
      </c>
      <c r="B23" s="24" t="s">
        <v>176</v>
      </c>
      <c r="C23" s="49" t="s">
        <v>177</v>
      </c>
      <c r="D23" s="25" t="s">
        <v>173</v>
      </c>
      <c r="E23" s="115">
        <v>44986</v>
      </c>
      <c r="F23" s="25">
        <v>44621</v>
      </c>
      <c r="G23" s="25">
        <v>44256</v>
      </c>
      <c r="H23" s="25">
        <v>43891</v>
      </c>
      <c r="I23" s="25">
        <v>43525</v>
      </c>
      <c r="J23" s="25">
        <v>43160</v>
      </c>
      <c r="K23" s="25">
        <v>42795</v>
      </c>
      <c r="L23" s="25">
        <v>42430</v>
      </c>
      <c r="M23" s="25">
        <f>M1</f>
        <v>42064</v>
      </c>
      <c r="N23" s="25">
        <v>41699</v>
      </c>
      <c r="O23" s="25">
        <v>41334</v>
      </c>
      <c r="P23" s="25">
        <v>40969</v>
      </c>
      <c r="Q23" s="25">
        <v>40603</v>
      </c>
      <c r="R23" s="25">
        <v>40238</v>
      </c>
      <c r="S23" s="25">
        <v>39873</v>
      </c>
      <c r="T23" s="25">
        <v>39508</v>
      </c>
      <c r="U23" s="26">
        <v>39142</v>
      </c>
    </row>
    <row r="24" spans="1:21" x14ac:dyDescent="0.25">
      <c r="A24" s="20" t="s">
        <v>104</v>
      </c>
      <c r="B24" s="27"/>
      <c r="C24" s="50">
        <f>E24-[1]Italy!E24</f>
        <v>-12770</v>
      </c>
      <c r="D24" s="1">
        <f>F24-[1]Italy!F24</f>
        <v>-3305.6675255598243</v>
      </c>
      <c r="E24" s="114">
        <v>9230</v>
      </c>
      <c r="F24" s="98">
        <v>1080.2275752054106</v>
      </c>
      <c r="G24" s="1">
        <v>49577.107762392639</v>
      </c>
      <c r="H24" s="98">
        <v>0</v>
      </c>
      <c r="I24" s="98">
        <v>63971.905591621828</v>
      </c>
      <c r="J24" s="1">
        <v>82765.745796512405</v>
      </c>
      <c r="K24" s="98">
        <v>56635.808444322181</v>
      </c>
      <c r="L24" s="98">
        <v>63566.175721179985</v>
      </c>
      <c r="M24" s="98">
        <v>65796.129282598573</v>
      </c>
      <c r="N24" s="98">
        <v>73948.376248926696</v>
      </c>
      <c r="O24" s="38">
        <v>30464.013141234482</v>
      </c>
      <c r="P24" s="1">
        <v>87525.455028555443</v>
      </c>
      <c r="Q24" s="1">
        <v>25464.53642822471</v>
      </c>
      <c r="R24" s="1">
        <v>33070.826530161961</v>
      </c>
      <c r="S24" s="1">
        <v>20931</v>
      </c>
      <c r="T24" s="1">
        <v>8378</v>
      </c>
      <c r="U24" s="29">
        <v>27801</v>
      </c>
    </row>
    <row r="25" spans="1:21" x14ac:dyDescent="0.25">
      <c r="A25" s="20" t="s">
        <v>7</v>
      </c>
      <c r="B25" s="27"/>
      <c r="C25" s="50">
        <f>E25-[1]Italy!E25</f>
        <v>-1950</v>
      </c>
      <c r="D25" s="1">
        <f>F25-[1]Italy!F25</f>
        <v>-1392.3346467777537</v>
      </c>
      <c r="E25" s="114">
        <v>3310</v>
      </c>
      <c r="F25" s="98">
        <v>5970.0843970426422</v>
      </c>
      <c r="G25" s="1">
        <v>14290.719678588026</v>
      </c>
      <c r="H25" s="98">
        <v>0</v>
      </c>
      <c r="I25" s="98">
        <v>22640.97582456173</v>
      </c>
      <c r="J25" s="1">
        <v>24457.947603728629</v>
      </c>
      <c r="K25" s="98">
        <v>21211.651397401653</v>
      </c>
      <c r="L25" s="98">
        <v>31769.674962783454</v>
      </c>
      <c r="M25" s="98">
        <v>29549.375871377833</v>
      </c>
      <c r="N25" s="98">
        <v>37826.081641877216</v>
      </c>
      <c r="O25" s="38">
        <v>34920.59330522384</v>
      </c>
      <c r="P25" s="1">
        <v>61416.979382676443</v>
      </c>
      <c r="Q25" s="1">
        <v>28285.076094824028</v>
      </c>
      <c r="R25" s="1">
        <v>49622.94051723514</v>
      </c>
      <c r="S25" s="1">
        <v>42778</v>
      </c>
      <c r="T25" s="1">
        <v>42656</v>
      </c>
      <c r="U25" s="29">
        <v>47170</v>
      </c>
    </row>
    <row r="26" spans="1:21" x14ac:dyDescent="0.25">
      <c r="A26" s="20" t="s">
        <v>105</v>
      </c>
      <c r="B26" s="27"/>
      <c r="C26" s="50">
        <f>E26-[1]Italy!E26</f>
        <v>-580</v>
      </c>
      <c r="D26" s="1">
        <f>F26-[1]Italy!F26</f>
        <v>-754.53983548169185</v>
      </c>
      <c r="E26" s="114">
        <v>390</v>
      </c>
      <c r="F26" s="98">
        <v>1581.3281817157406</v>
      </c>
      <c r="G26" s="1">
        <v>1147.9183805219791</v>
      </c>
      <c r="H26" s="98">
        <v>0</v>
      </c>
      <c r="I26" s="98">
        <v>2214.3212945060932</v>
      </c>
      <c r="J26" s="1">
        <v>1211.5613424476735</v>
      </c>
      <c r="K26" s="98">
        <v>670.2297869127591</v>
      </c>
      <c r="L26" s="98">
        <v>3307.2575677211621</v>
      </c>
      <c r="M26" s="98">
        <v>3025.3591556187307</v>
      </c>
      <c r="N26" s="98">
        <v>4140.4848179103637</v>
      </c>
      <c r="O26" s="38">
        <v>880.67938977974541</v>
      </c>
      <c r="P26" s="1">
        <v>10242.812779541362</v>
      </c>
      <c r="Q26" s="1">
        <v>1587.8603849661736</v>
      </c>
      <c r="R26" s="1">
        <v>10585.73589977449</v>
      </c>
      <c r="S26" s="1">
        <v>2126</v>
      </c>
      <c r="T26" s="1">
        <v>7667</v>
      </c>
      <c r="U26" s="29">
        <v>7952</v>
      </c>
    </row>
    <row r="27" spans="1:21" x14ac:dyDescent="0.25">
      <c r="A27" s="20" t="s">
        <v>30</v>
      </c>
      <c r="B27" s="27"/>
      <c r="C27" s="50">
        <f>E27-[1]Italy!E27</f>
        <v>-1460</v>
      </c>
      <c r="D27" s="1">
        <f>F27-[1]Italy!F27</f>
        <v>-1487.1272363581918</v>
      </c>
      <c r="E27" s="114">
        <v>1960</v>
      </c>
      <c r="F27" s="98">
        <v>662.86204736694594</v>
      </c>
      <c r="G27" s="1">
        <v>13921.610409453058</v>
      </c>
      <c r="H27" s="98">
        <v>0</v>
      </c>
      <c r="I27" s="98">
        <v>9278.7162314291763</v>
      </c>
      <c r="J27" s="1">
        <v>11662.43145458616</v>
      </c>
      <c r="K27" s="98">
        <v>7825.8229150421184</v>
      </c>
      <c r="L27" s="98">
        <v>16380.43736138309</v>
      </c>
      <c r="M27" s="98">
        <v>5832.126376392991</v>
      </c>
      <c r="N27" s="98">
        <v>21296.53202654039</v>
      </c>
      <c r="O27" s="38">
        <v>7182.8672671929089</v>
      </c>
      <c r="P27" s="1">
        <v>16595.353059931193</v>
      </c>
      <c r="Q27" s="1">
        <v>5428.2717339577894</v>
      </c>
      <c r="R27" s="1">
        <v>16449.308284720573</v>
      </c>
      <c r="S27" s="1">
        <v>3441</v>
      </c>
      <c r="T27" s="1">
        <v>6807</v>
      </c>
      <c r="U27" s="29">
        <v>10465</v>
      </c>
    </row>
    <row r="28" spans="1:21" ht="13.8" thickBot="1" x14ac:dyDescent="0.3">
      <c r="A28" s="30" t="s">
        <v>59</v>
      </c>
      <c r="B28" s="27"/>
      <c r="C28" s="51">
        <f>E28-[1]Italy!E28</f>
        <v>-4260</v>
      </c>
      <c r="D28" s="10">
        <f>F28-[1]Italy!F28</f>
        <v>-3871.158753001022</v>
      </c>
      <c r="E28" s="116">
        <v>3450</v>
      </c>
      <c r="F28" s="99">
        <v>1026.4260717089435</v>
      </c>
      <c r="G28" s="10">
        <v>5113.0965566902069</v>
      </c>
      <c r="H28" s="99">
        <v>0</v>
      </c>
      <c r="I28" s="99">
        <v>4021.7047979618369</v>
      </c>
      <c r="J28" s="10">
        <v>2565</v>
      </c>
      <c r="K28" s="99">
        <v>2200</v>
      </c>
      <c r="L28" s="99">
        <v>2165.3913246874586</v>
      </c>
      <c r="M28" s="99">
        <v>1336.514031032</v>
      </c>
      <c r="N28" s="99">
        <v>6448.5837758142461</v>
      </c>
      <c r="O28" s="37">
        <v>1243.2719654343978</v>
      </c>
      <c r="P28" s="10">
        <v>1208.953994402445</v>
      </c>
      <c r="Q28" s="10">
        <v>1163.1466136153258</v>
      </c>
      <c r="R28" s="10">
        <v>3877.1553787177531</v>
      </c>
      <c r="S28" s="10">
        <v>1124</v>
      </c>
      <c r="T28" s="10">
        <v>512</v>
      </c>
      <c r="U28" s="31">
        <v>528</v>
      </c>
    </row>
    <row r="29" spans="1:21" ht="13.8" thickBot="1" x14ac:dyDescent="0.3">
      <c r="A29" s="32" t="s">
        <v>23</v>
      </c>
      <c r="B29" s="143"/>
      <c r="C29" s="70">
        <f>E29-[1]Italy!E29</f>
        <v>-21020</v>
      </c>
      <c r="D29" s="34">
        <f>F29-[1]Italy!F29</f>
        <v>-10810.827997178485</v>
      </c>
      <c r="E29" s="117">
        <f>SUM(E24:E28)</f>
        <v>18340</v>
      </c>
      <c r="F29" s="34">
        <f>SUM(F24:F28)</f>
        <v>10320.928273039683</v>
      </c>
      <c r="G29" s="34">
        <f>SUM(G24:G28)</f>
        <v>84050.452787645903</v>
      </c>
      <c r="H29" s="34">
        <v>0</v>
      </c>
      <c r="I29" s="34">
        <f>SUM(I24:I28)</f>
        <v>102127.62374008067</v>
      </c>
      <c r="J29" s="34">
        <f>SUM(J24:J28)</f>
        <v>122662.68619727486</v>
      </c>
      <c r="K29" s="100">
        <v>88543.51254367872</v>
      </c>
      <c r="L29" s="100">
        <v>117188.93693775515</v>
      </c>
      <c r="M29" s="100">
        <f>SUM(M24:M28)</f>
        <v>105539.50471702013</v>
      </c>
      <c r="N29" s="100">
        <f>SUM(N24:N28)</f>
        <v>143660.0585110689</v>
      </c>
      <c r="O29" s="34">
        <f>SUM(O24:O28)</f>
        <v>74691.42506886537</v>
      </c>
      <c r="P29" s="34">
        <f t="shared" ref="P29:U29" si="2">SUM(P24:P28)</f>
        <v>176989.55424510691</v>
      </c>
      <c r="Q29" s="34">
        <f t="shared" si="2"/>
        <v>61928.891255588023</v>
      </c>
      <c r="R29" s="34">
        <f t="shared" si="2"/>
        <v>113605.9666106099</v>
      </c>
      <c r="S29" s="34">
        <f t="shared" si="2"/>
        <v>70400</v>
      </c>
      <c r="T29" s="34">
        <f t="shared" si="2"/>
        <v>66020</v>
      </c>
      <c r="U29" s="35">
        <f t="shared" si="2"/>
        <v>93916</v>
      </c>
    </row>
    <row r="30" spans="1:21" x14ac:dyDescent="0.25">
      <c r="J30" s="1"/>
    </row>
    <row r="31" spans="1:21" x14ac:dyDescent="0.25">
      <c r="A31" s="52" t="s">
        <v>179</v>
      </c>
    </row>
    <row r="36" spans="20:22" ht="17.399999999999999" x14ac:dyDescent="0.3">
      <c r="T36" s="5"/>
      <c r="U36" s="1"/>
      <c r="V36" s="1"/>
    </row>
    <row r="37" spans="20:22" ht="17.399999999999999" x14ac:dyDescent="0.3">
      <c r="T37" s="5"/>
      <c r="U37" s="1"/>
      <c r="V37" s="1"/>
    </row>
    <row r="38" spans="20:22" ht="17.399999999999999" x14ac:dyDescent="0.3">
      <c r="T38" s="5"/>
      <c r="U38" s="1"/>
      <c r="V38" s="1"/>
    </row>
    <row r="39" spans="20:22" ht="17.399999999999999" x14ac:dyDescent="0.3">
      <c r="T39" s="5"/>
      <c r="U39" s="1"/>
      <c r="V39" s="1"/>
    </row>
    <row r="40" spans="20:22" ht="17.399999999999999" x14ac:dyDescent="0.3">
      <c r="T40" s="5"/>
      <c r="U40" s="1"/>
      <c r="V40" s="1"/>
    </row>
    <row r="41" spans="20:22" ht="17.399999999999999" x14ac:dyDescent="0.3">
      <c r="T41" s="5"/>
      <c r="U41" s="1"/>
      <c r="V41" s="1"/>
    </row>
    <row r="42" spans="20:22" ht="17.399999999999999" x14ac:dyDescent="0.3">
      <c r="T42" s="5"/>
      <c r="U42" s="1"/>
      <c r="V42" s="1"/>
    </row>
    <row r="43" spans="20:22" ht="17.399999999999999" x14ac:dyDescent="0.3">
      <c r="T43" s="5"/>
      <c r="U43" s="1"/>
      <c r="V43" s="1"/>
    </row>
    <row r="44" spans="20:22" ht="17.399999999999999" x14ac:dyDescent="0.3">
      <c r="T44" s="5"/>
      <c r="U44" s="1"/>
      <c r="V44" s="1"/>
    </row>
    <row r="45" spans="20:22" ht="17.399999999999999" x14ac:dyDescent="0.3">
      <c r="T45" s="5"/>
      <c r="U45" s="1"/>
      <c r="V45" s="1"/>
    </row>
    <row r="46" spans="20:22" ht="17.399999999999999" x14ac:dyDescent="0.3">
      <c r="T46" s="6"/>
      <c r="U46" s="1"/>
      <c r="V46" s="1"/>
    </row>
    <row r="47" spans="20:22" ht="18" x14ac:dyDescent="0.35">
      <c r="T47" s="7"/>
      <c r="U47" s="2"/>
      <c r="V47" s="2"/>
    </row>
  </sheetData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43"/>
  <sheetViews>
    <sheetView workbookViewId="0"/>
  </sheetViews>
  <sheetFormatPr defaultColWidth="8.77734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10" width="11.33203125" customWidth="1"/>
    <col min="11" max="21" width="10.109375" bestFit="1" customWidth="1"/>
  </cols>
  <sheetData>
    <row r="1" spans="1:21" ht="13.8" thickBot="1" x14ac:dyDescent="0.3">
      <c r="A1" s="23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1" x14ac:dyDescent="0.25">
      <c r="A2" s="40" t="s">
        <v>4</v>
      </c>
      <c r="B2" s="101"/>
      <c r="C2" s="137">
        <f>E2-[1]Poland!E2</f>
        <v>0</v>
      </c>
      <c r="D2" s="1">
        <f>F2-[1]Poland!F2</f>
        <v>0</v>
      </c>
      <c r="E2" s="1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>
        <v>1000</v>
      </c>
      <c r="S2" s="1">
        <v>0</v>
      </c>
      <c r="T2" s="1">
        <v>0</v>
      </c>
      <c r="U2" s="29">
        <v>0</v>
      </c>
    </row>
    <row r="3" spans="1:21" x14ac:dyDescent="0.25">
      <c r="A3" s="40" t="s">
        <v>33</v>
      </c>
      <c r="B3" s="101"/>
      <c r="C3" s="50">
        <f>E3-[1]Poland!E3</f>
        <v>0</v>
      </c>
      <c r="D3" s="1">
        <f>F3-[1]Poland!F3</f>
        <v>0</v>
      </c>
      <c r="E3" s="114"/>
      <c r="F3" s="1"/>
      <c r="G3" s="1"/>
      <c r="H3" s="1"/>
      <c r="I3" s="1"/>
      <c r="J3" s="1"/>
      <c r="K3" s="1"/>
      <c r="L3" s="1"/>
      <c r="M3" s="1">
        <v>0</v>
      </c>
      <c r="N3" s="1">
        <v>0</v>
      </c>
      <c r="O3" s="1">
        <v>500</v>
      </c>
      <c r="P3" s="1">
        <v>500</v>
      </c>
      <c r="Q3" s="1">
        <v>5000</v>
      </c>
      <c r="R3" s="1">
        <v>10000</v>
      </c>
      <c r="S3" s="1">
        <v>3000</v>
      </c>
      <c r="T3" s="1">
        <v>2000</v>
      </c>
      <c r="U3" s="29">
        <v>10000</v>
      </c>
    </row>
    <row r="4" spans="1:21" x14ac:dyDescent="0.25">
      <c r="A4" s="20" t="s">
        <v>2</v>
      </c>
      <c r="B4" s="101"/>
      <c r="C4" s="50">
        <f>E4-[1]Poland!E4</f>
        <v>0</v>
      </c>
      <c r="D4" s="1">
        <f>F4-[1]Poland!F4</f>
        <v>0</v>
      </c>
      <c r="E4" s="114"/>
      <c r="F4" s="1"/>
      <c r="G4" s="1"/>
      <c r="H4" s="1"/>
      <c r="I4" s="1"/>
      <c r="J4" s="1"/>
      <c r="K4" s="1"/>
      <c r="L4" s="1"/>
      <c r="M4" s="1">
        <v>0</v>
      </c>
      <c r="N4" s="1">
        <v>0</v>
      </c>
      <c r="O4" s="1">
        <v>500</v>
      </c>
      <c r="P4" s="1">
        <v>500</v>
      </c>
      <c r="Q4" s="1"/>
      <c r="R4" s="1">
        <v>6000</v>
      </c>
      <c r="S4" s="1">
        <v>3000</v>
      </c>
      <c r="T4" s="1">
        <v>1000</v>
      </c>
      <c r="U4" s="29">
        <v>500</v>
      </c>
    </row>
    <row r="5" spans="1:21" x14ac:dyDescent="0.25">
      <c r="A5" s="20" t="s">
        <v>9</v>
      </c>
      <c r="B5" s="101">
        <f t="shared" ref="B5:B10" si="0">(E5-F5)/F5</f>
        <v>-0.52631578947368418</v>
      </c>
      <c r="C5" s="50">
        <f>E5-[1]Poland!E5</f>
        <v>-50000</v>
      </c>
      <c r="D5" s="1">
        <f>F5-[1]Poland!F5</f>
        <v>-40000</v>
      </c>
      <c r="E5" s="114">
        <v>45000</v>
      </c>
      <c r="F5" s="1">
        <v>95000</v>
      </c>
      <c r="G5" s="1">
        <v>65000</v>
      </c>
      <c r="H5" s="1">
        <v>30000</v>
      </c>
      <c r="I5" s="1">
        <v>50000</v>
      </c>
      <c r="J5" s="1">
        <v>20000</v>
      </c>
      <c r="K5" s="1">
        <v>20000</v>
      </c>
      <c r="L5" s="1">
        <v>25000</v>
      </c>
      <c r="M5" s="1">
        <v>25000</v>
      </c>
      <c r="N5" s="1">
        <v>40000</v>
      </c>
      <c r="O5" s="1">
        <v>15000</v>
      </c>
      <c r="P5" s="1">
        <v>20000</v>
      </c>
      <c r="Q5" s="1">
        <v>40000</v>
      </c>
      <c r="R5" s="1">
        <v>45000</v>
      </c>
      <c r="S5" s="1">
        <v>30000</v>
      </c>
      <c r="T5" s="1">
        <v>20000</v>
      </c>
      <c r="U5" s="29">
        <v>20000</v>
      </c>
    </row>
    <row r="6" spans="1:21" x14ac:dyDescent="0.25">
      <c r="A6" s="20" t="s">
        <v>14</v>
      </c>
      <c r="B6" s="101">
        <f t="shared" si="0"/>
        <v>-0.5</v>
      </c>
      <c r="C6" s="50">
        <f>E6-[1]Poland!E6</f>
        <v>-5000</v>
      </c>
      <c r="D6" s="1">
        <f>F6-[1]Poland!F6</f>
        <v>-10000</v>
      </c>
      <c r="E6" s="114">
        <v>15000</v>
      </c>
      <c r="F6" s="1">
        <v>30000</v>
      </c>
      <c r="G6" s="1">
        <v>55000</v>
      </c>
      <c r="H6" s="1">
        <v>50000</v>
      </c>
      <c r="I6" s="1">
        <v>65000</v>
      </c>
      <c r="J6" s="1">
        <v>65000</v>
      </c>
      <c r="K6" s="1">
        <v>65000</v>
      </c>
      <c r="L6" s="1">
        <v>60000</v>
      </c>
      <c r="M6" s="1">
        <v>60000</v>
      </c>
      <c r="N6" s="1">
        <v>60000</v>
      </c>
      <c r="O6" s="1">
        <v>60000</v>
      </c>
      <c r="P6" s="1">
        <v>50000</v>
      </c>
      <c r="Q6" s="1">
        <v>10000</v>
      </c>
      <c r="R6" s="1">
        <v>10000</v>
      </c>
      <c r="S6" s="1">
        <v>5000</v>
      </c>
      <c r="T6" s="1">
        <v>7000</v>
      </c>
      <c r="U6" s="29">
        <v>12000</v>
      </c>
    </row>
    <row r="7" spans="1:21" x14ac:dyDescent="0.25">
      <c r="A7" s="20" t="s">
        <v>3</v>
      </c>
      <c r="B7" s="101">
        <f t="shared" si="0"/>
        <v>-0.125</v>
      </c>
      <c r="C7" s="50">
        <f>E7-[1]Poland!E7</f>
        <v>-30000</v>
      </c>
      <c r="D7" s="1">
        <f>F7-[1]Poland!F7</f>
        <v>-30000</v>
      </c>
      <c r="E7" s="114">
        <v>140000</v>
      </c>
      <c r="F7" s="1">
        <v>160000</v>
      </c>
      <c r="G7" s="1">
        <v>85000</v>
      </c>
      <c r="H7" s="1">
        <v>80000</v>
      </c>
      <c r="I7" s="1">
        <v>105000</v>
      </c>
      <c r="J7" s="1">
        <v>105000</v>
      </c>
      <c r="K7" s="76">
        <v>115000</v>
      </c>
      <c r="L7" s="76">
        <v>120000</v>
      </c>
      <c r="M7" s="76">
        <v>110000</v>
      </c>
      <c r="N7" s="76">
        <v>100000</v>
      </c>
      <c r="O7" s="76">
        <v>90000</v>
      </c>
      <c r="P7" s="76">
        <v>70000</v>
      </c>
      <c r="Q7" s="76">
        <v>40000</v>
      </c>
      <c r="R7" s="76">
        <v>55000</v>
      </c>
      <c r="S7" s="76">
        <v>60000</v>
      </c>
      <c r="T7" s="1">
        <v>33000</v>
      </c>
      <c r="U7" s="29">
        <v>32000</v>
      </c>
    </row>
    <row r="8" spans="1:21" x14ac:dyDescent="0.25">
      <c r="A8" s="20" t="s">
        <v>10</v>
      </c>
      <c r="B8" s="101">
        <f t="shared" si="0"/>
        <v>-0.19444444444444445</v>
      </c>
      <c r="C8" s="50">
        <f>E8-[1]Poland!E8</f>
        <v>-35000</v>
      </c>
      <c r="D8" s="1">
        <f>F8-[1]Poland!F8</f>
        <v>-40000</v>
      </c>
      <c r="E8" s="114">
        <v>145000</v>
      </c>
      <c r="F8" s="1">
        <v>180000</v>
      </c>
      <c r="G8" s="1">
        <v>170000</v>
      </c>
      <c r="H8" s="1">
        <v>110000</v>
      </c>
      <c r="I8" s="1">
        <v>230000</v>
      </c>
      <c r="J8" s="1">
        <v>90000</v>
      </c>
      <c r="K8" s="76">
        <v>220000</v>
      </c>
      <c r="L8" s="76">
        <v>220000</v>
      </c>
      <c r="M8" s="76">
        <v>190000</v>
      </c>
      <c r="N8" s="76">
        <v>170000</v>
      </c>
      <c r="O8" s="76">
        <v>170000</v>
      </c>
      <c r="P8" s="76">
        <v>150000</v>
      </c>
      <c r="Q8" s="76">
        <v>70000</v>
      </c>
      <c r="R8" s="76">
        <v>80000</v>
      </c>
      <c r="S8" s="76">
        <v>110000</v>
      </c>
      <c r="T8" s="1">
        <v>25000</v>
      </c>
      <c r="U8" s="29">
        <v>55000</v>
      </c>
    </row>
    <row r="9" spans="1:21" x14ac:dyDescent="0.25">
      <c r="A9" s="20" t="s">
        <v>27</v>
      </c>
      <c r="B9" s="101">
        <f t="shared" si="0"/>
        <v>-0.3</v>
      </c>
      <c r="C9" s="50">
        <f>E9-[1]Poland!E9</f>
        <v>-15000</v>
      </c>
      <c r="D9" s="1">
        <f>F9-[1]Poland!F9</f>
        <v>-10000</v>
      </c>
      <c r="E9" s="114">
        <v>35000</v>
      </c>
      <c r="F9" s="1">
        <v>50000</v>
      </c>
      <c r="G9" s="1">
        <v>60000</v>
      </c>
      <c r="H9" s="1">
        <v>20000</v>
      </c>
      <c r="I9" s="1">
        <v>55000</v>
      </c>
      <c r="J9" s="1">
        <v>20000</v>
      </c>
      <c r="K9" s="76">
        <v>60000</v>
      </c>
      <c r="L9" s="76">
        <v>60000</v>
      </c>
      <c r="M9" s="76">
        <v>55000</v>
      </c>
      <c r="N9" s="76">
        <v>55000</v>
      </c>
      <c r="O9" s="76">
        <v>50000</v>
      </c>
      <c r="P9" s="76">
        <v>50000</v>
      </c>
      <c r="Q9" s="76">
        <v>15000</v>
      </c>
      <c r="R9" s="76">
        <v>48000</v>
      </c>
      <c r="S9" s="76">
        <v>10000</v>
      </c>
      <c r="T9" s="1">
        <v>1000</v>
      </c>
      <c r="U9" s="29">
        <v>6000</v>
      </c>
    </row>
    <row r="10" spans="1:21" x14ac:dyDescent="0.25">
      <c r="A10" s="20" t="s">
        <v>157</v>
      </c>
      <c r="B10" s="101">
        <f t="shared" si="0"/>
        <v>-0.5</v>
      </c>
      <c r="C10" s="50">
        <f>E10-[1]Poland!E10</f>
        <v>-20000</v>
      </c>
      <c r="D10" s="1">
        <f>F10-[1]Poland!F10</f>
        <v>-15000</v>
      </c>
      <c r="E10" s="114">
        <v>40000</v>
      </c>
      <c r="F10" s="1">
        <v>80000</v>
      </c>
      <c r="G10" s="1">
        <v>70000</v>
      </c>
      <c r="H10" s="1">
        <v>15000</v>
      </c>
      <c r="I10" s="1">
        <v>95000</v>
      </c>
      <c r="J10" s="1">
        <v>40000</v>
      </c>
      <c r="K10" s="76">
        <v>85000</v>
      </c>
      <c r="L10" s="76">
        <v>85000</v>
      </c>
      <c r="M10" s="76">
        <v>80000</v>
      </c>
      <c r="N10" s="76">
        <v>80000</v>
      </c>
      <c r="O10" s="76">
        <v>80000</v>
      </c>
      <c r="P10" s="76">
        <v>80000</v>
      </c>
      <c r="Q10" s="76"/>
      <c r="R10" s="76">
        <v>2000</v>
      </c>
      <c r="S10" s="76">
        <v>2000</v>
      </c>
      <c r="T10" s="1">
        <v>0</v>
      </c>
      <c r="U10" s="29">
        <v>0</v>
      </c>
    </row>
    <row r="11" spans="1:21" x14ac:dyDescent="0.25">
      <c r="A11" s="40" t="s">
        <v>34</v>
      </c>
      <c r="B11" s="101"/>
      <c r="C11" s="50">
        <f>E11-[1]Poland!E11</f>
        <v>0</v>
      </c>
      <c r="D11" s="1">
        <f>F11-[1]Poland!F11</f>
        <v>0</v>
      </c>
      <c r="E11" s="114"/>
      <c r="F11" s="1"/>
      <c r="G11" s="1"/>
      <c r="H11" s="1"/>
      <c r="I11" s="1"/>
      <c r="J11" s="1"/>
      <c r="K11" s="76"/>
      <c r="L11" s="76"/>
      <c r="M11" s="76">
        <v>0</v>
      </c>
      <c r="N11" s="76">
        <v>0</v>
      </c>
      <c r="O11" s="76">
        <v>0</v>
      </c>
      <c r="P11" s="76">
        <v>500</v>
      </c>
      <c r="Q11" s="76">
        <v>15000</v>
      </c>
      <c r="R11" s="76">
        <v>40000</v>
      </c>
      <c r="S11" s="76">
        <v>15000</v>
      </c>
      <c r="T11" s="1">
        <v>10000</v>
      </c>
      <c r="U11" s="29">
        <v>20000</v>
      </c>
    </row>
    <row r="12" spans="1:21" x14ac:dyDescent="0.25">
      <c r="A12" s="40" t="s">
        <v>13</v>
      </c>
      <c r="B12" s="101">
        <f>(E12-F12)/F12</f>
        <v>0.3888888888888889</v>
      </c>
      <c r="C12" s="50">
        <f>E12-[1]Poland!E12</f>
        <v>-12000</v>
      </c>
      <c r="D12" s="1">
        <f>F12-[1]Poland!F12</f>
        <v>-5000</v>
      </c>
      <c r="E12" s="114">
        <v>25000</v>
      </c>
      <c r="F12" s="1">
        <v>18000</v>
      </c>
      <c r="G12" s="1">
        <v>15000</v>
      </c>
      <c r="H12" s="1">
        <v>5000</v>
      </c>
      <c r="I12" s="1">
        <v>15000</v>
      </c>
      <c r="J12" s="1">
        <v>4000</v>
      </c>
      <c r="K12" s="76">
        <v>4000</v>
      </c>
      <c r="L12" s="76">
        <v>4000</v>
      </c>
      <c r="M12" s="76">
        <v>4000</v>
      </c>
      <c r="N12" s="76">
        <v>5000</v>
      </c>
      <c r="O12" s="76"/>
      <c r="P12" s="76"/>
      <c r="Q12" s="76"/>
      <c r="R12" s="76">
        <v>2000</v>
      </c>
      <c r="S12" s="76">
        <v>0</v>
      </c>
      <c r="T12" s="1">
        <v>0</v>
      </c>
      <c r="U12" s="29">
        <v>0</v>
      </c>
    </row>
    <row r="13" spans="1:21" x14ac:dyDescent="0.25">
      <c r="A13" s="40" t="s">
        <v>19</v>
      </c>
      <c r="B13" s="101">
        <f>(E13-F13)/F13</f>
        <v>1.3333333333333333</v>
      </c>
      <c r="C13" s="50">
        <f>E13-[1]Poland!E13</f>
        <v>-15000</v>
      </c>
      <c r="D13" s="1">
        <f>F13-[1]Poland!F13</f>
        <v>-8000</v>
      </c>
      <c r="E13" s="114">
        <v>35000</v>
      </c>
      <c r="F13" s="1">
        <v>15000</v>
      </c>
      <c r="G13" s="1">
        <v>7000</v>
      </c>
      <c r="H13" s="1">
        <v>2000</v>
      </c>
      <c r="I13" s="1"/>
      <c r="J13" s="1"/>
      <c r="K13" s="76"/>
      <c r="L13" s="76"/>
      <c r="M13" s="76">
        <v>0</v>
      </c>
      <c r="N13" s="76">
        <v>0</v>
      </c>
      <c r="O13" s="76">
        <v>0</v>
      </c>
      <c r="P13" s="76">
        <v>500</v>
      </c>
      <c r="Q13" s="76"/>
      <c r="R13" s="76">
        <v>5000</v>
      </c>
      <c r="S13" s="76">
        <v>5000</v>
      </c>
      <c r="T13" s="1">
        <v>3000</v>
      </c>
      <c r="U13" s="29">
        <v>2000</v>
      </c>
    </row>
    <row r="14" spans="1:21" x14ac:dyDescent="0.25">
      <c r="A14" s="40" t="s">
        <v>134</v>
      </c>
      <c r="B14" s="101">
        <f>(E14-F14)/F14</f>
        <v>0.29629629629629628</v>
      </c>
      <c r="C14" s="50">
        <f>E14-[1]Poland!E14</f>
        <v>-40000</v>
      </c>
      <c r="D14" s="1">
        <f>F14-[1]Poland!F14</f>
        <v>-20000</v>
      </c>
      <c r="E14" s="114">
        <v>175000</v>
      </c>
      <c r="F14" s="1">
        <v>135000</v>
      </c>
      <c r="G14" s="1">
        <v>80000</v>
      </c>
      <c r="H14" s="1">
        <v>50000</v>
      </c>
      <c r="I14" s="1">
        <v>0</v>
      </c>
      <c r="J14" s="1"/>
      <c r="K14" s="76"/>
      <c r="L14" s="76"/>
      <c r="M14" s="76"/>
      <c r="N14" s="76"/>
      <c r="O14" s="76"/>
      <c r="P14" s="76"/>
      <c r="Q14" s="76"/>
      <c r="R14" s="76"/>
      <c r="S14" s="76"/>
      <c r="T14" s="1"/>
      <c r="U14" s="29"/>
    </row>
    <row r="15" spans="1:21" x14ac:dyDescent="0.25">
      <c r="A15" s="40" t="s">
        <v>89</v>
      </c>
      <c r="B15" s="101">
        <f>(E15-F15)/F15</f>
        <v>-0.26829268292682928</v>
      </c>
      <c r="C15" s="50">
        <f>E15-[1]Poland!E15</f>
        <v>-25000</v>
      </c>
      <c r="D15" s="1">
        <f>F15-[1]Poland!F15</f>
        <v>-15000</v>
      </c>
      <c r="E15" s="114">
        <v>60000</v>
      </c>
      <c r="F15" s="1">
        <v>82000</v>
      </c>
      <c r="G15" s="1">
        <v>80000</v>
      </c>
      <c r="H15" s="1">
        <v>60000</v>
      </c>
      <c r="I15" s="1">
        <v>130000</v>
      </c>
      <c r="J15" s="1">
        <v>60000</v>
      </c>
      <c r="K15" s="76">
        <v>110000</v>
      </c>
      <c r="L15" s="76">
        <v>110000</v>
      </c>
      <c r="M15" s="76">
        <v>100000</v>
      </c>
      <c r="N15" s="76">
        <v>110000</v>
      </c>
      <c r="O15" s="76">
        <v>80000</v>
      </c>
      <c r="P15" s="76">
        <v>80000</v>
      </c>
      <c r="Q15" s="76">
        <v>40000</v>
      </c>
      <c r="R15" s="76">
        <v>30000</v>
      </c>
      <c r="S15" s="76">
        <v>35000</v>
      </c>
      <c r="T15" s="1">
        <v>15000</v>
      </c>
      <c r="U15" s="29">
        <v>25000</v>
      </c>
    </row>
    <row r="16" spans="1:21" x14ac:dyDescent="0.25">
      <c r="A16" s="40" t="s">
        <v>35</v>
      </c>
      <c r="B16" s="101"/>
      <c r="C16" s="50">
        <f>E16-[1]Poland!E16</f>
        <v>0</v>
      </c>
      <c r="D16" s="1">
        <f>F16-[1]Poland!F16</f>
        <v>0</v>
      </c>
      <c r="E16" s="114"/>
      <c r="F16" s="1"/>
      <c r="G16" s="1"/>
      <c r="H16" s="1"/>
      <c r="I16" s="1">
        <v>35000</v>
      </c>
      <c r="J16" s="1"/>
      <c r="K16" s="76"/>
      <c r="L16" s="76"/>
      <c r="M16" s="76"/>
      <c r="N16" s="76"/>
      <c r="O16" s="76"/>
      <c r="P16" s="76"/>
      <c r="Q16" s="76"/>
      <c r="R16" s="76">
        <v>1000</v>
      </c>
      <c r="S16" s="76">
        <v>2000</v>
      </c>
      <c r="T16" s="1">
        <v>0</v>
      </c>
      <c r="U16" s="29">
        <v>0</v>
      </c>
    </row>
    <row r="17" spans="1:22" ht="13.8" thickBot="1" x14ac:dyDescent="0.3">
      <c r="A17" s="22" t="s">
        <v>59</v>
      </c>
      <c r="B17" s="101">
        <f>(E17-F17)/F17</f>
        <v>0</v>
      </c>
      <c r="C17" s="51">
        <f>E17-[1]Poland!E17</f>
        <v>-50000</v>
      </c>
      <c r="D17" s="10">
        <f>F17-[1]Poland!F17</f>
        <v>-60000</v>
      </c>
      <c r="E17" s="116">
        <v>50000</v>
      </c>
      <c r="F17" s="10">
        <v>50000</v>
      </c>
      <c r="G17" s="10">
        <v>150000</v>
      </c>
      <c r="H17" s="10">
        <v>50000</v>
      </c>
      <c r="I17" s="10">
        <v>160000</v>
      </c>
      <c r="J17" s="10">
        <v>60000</v>
      </c>
      <c r="K17" s="77">
        <v>120000</v>
      </c>
      <c r="L17" s="77">
        <v>120000</v>
      </c>
      <c r="M17" s="77">
        <v>100000</v>
      </c>
      <c r="N17" s="77">
        <v>60000</v>
      </c>
      <c r="O17" s="77">
        <v>60000</v>
      </c>
      <c r="P17" s="77">
        <v>68000</v>
      </c>
      <c r="Q17" s="77">
        <v>15000</v>
      </c>
      <c r="R17" s="77">
        <v>15000</v>
      </c>
      <c r="S17" s="77">
        <v>10000</v>
      </c>
      <c r="T17" s="10">
        <v>23000</v>
      </c>
      <c r="U17" s="31">
        <v>17500</v>
      </c>
    </row>
    <row r="18" spans="1:22" ht="13.8" thickBot="1" x14ac:dyDescent="0.3">
      <c r="A18" s="32" t="s">
        <v>23</v>
      </c>
      <c r="B18" s="138">
        <f>(E18-F18)/F18</f>
        <v>-0.14525139664804471</v>
      </c>
      <c r="C18" s="70">
        <f>E18-[1]Poland!E18</f>
        <v>-297000</v>
      </c>
      <c r="D18" s="34">
        <f>F18-[1]Poland!F18</f>
        <v>-253000</v>
      </c>
      <c r="E18" s="117">
        <f>SUM(E2:E17)</f>
        <v>765000</v>
      </c>
      <c r="F18" s="34">
        <f>SUM(F2:F17)</f>
        <v>895000</v>
      </c>
      <c r="G18" s="34">
        <f>SUM(G2:G17)</f>
        <v>837000</v>
      </c>
      <c r="H18" s="34">
        <v>472000</v>
      </c>
      <c r="I18" s="34">
        <f>SUM(I5:I17)</f>
        <v>940000</v>
      </c>
      <c r="J18" s="34">
        <f>SUM(J5:J17)</f>
        <v>464000</v>
      </c>
      <c r="K18" s="34">
        <v>799000</v>
      </c>
      <c r="L18" s="34">
        <f>SUM(L2:L17)</f>
        <v>804000</v>
      </c>
      <c r="M18" s="34">
        <f>SUM(M2:M17)</f>
        <v>724000</v>
      </c>
      <c r="N18" s="34">
        <f>SUM(N2:N17)</f>
        <v>680000</v>
      </c>
      <c r="O18" s="34">
        <f>SUM(O2:O17)</f>
        <v>606000</v>
      </c>
      <c r="P18" s="34">
        <f t="shared" ref="P18:U18" si="1">SUM(P2:P17)</f>
        <v>570000</v>
      </c>
      <c r="Q18" s="34">
        <f t="shared" si="1"/>
        <v>250000</v>
      </c>
      <c r="R18" s="34">
        <f t="shared" si="1"/>
        <v>350000</v>
      </c>
      <c r="S18" s="34">
        <f t="shared" si="1"/>
        <v>290000</v>
      </c>
      <c r="T18" s="34">
        <f t="shared" si="1"/>
        <v>140000</v>
      </c>
      <c r="U18" s="35">
        <f t="shared" si="1"/>
        <v>200000</v>
      </c>
    </row>
    <row r="19" spans="1:22" x14ac:dyDescent="0.25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22" ht="13.8" thickBot="1" x14ac:dyDescent="0.3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22" ht="13.8" thickBot="1" x14ac:dyDescent="0.3">
      <c r="A21" s="23" t="s">
        <v>25</v>
      </c>
      <c r="B21" s="24" t="s">
        <v>176</v>
      </c>
      <c r="C21" s="49" t="s">
        <v>177</v>
      </c>
      <c r="D21" s="25" t="s">
        <v>173</v>
      </c>
      <c r="E21" s="115">
        <v>44986</v>
      </c>
      <c r="F21" s="25">
        <v>44621</v>
      </c>
      <c r="G21" s="25">
        <v>44256</v>
      </c>
      <c r="H21" s="25">
        <v>43891</v>
      </c>
      <c r="I21" s="25">
        <v>43525</v>
      </c>
      <c r="J21" s="25">
        <v>43160</v>
      </c>
      <c r="K21" s="25">
        <v>42795</v>
      </c>
      <c r="L21" s="25">
        <v>42430</v>
      </c>
      <c r="M21" s="25">
        <f>M1</f>
        <v>42064</v>
      </c>
      <c r="N21" s="25">
        <v>41699</v>
      </c>
      <c r="O21" s="25">
        <v>41334</v>
      </c>
      <c r="P21" s="25">
        <v>40969</v>
      </c>
      <c r="Q21" s="25">
        <v>40603</v>
      </c>
      <c r="R21" s="25">
        <v>40238</v>
      </c>
      <c r="S21" s="25">
        <v>39873</v>
      </c>
      <c r="T21" s="25">
        <v>39508</v>
      </c>
      <c r="U21" s="26">
        <v>39142</v>
      </c>
    </row>
    <row r="22" spans="1:22" x14ac:dyDescent="0.25">
      <c r="A22" s="20" t="s">
        <v>7</v>
      </c>
      <c r="B22" s="27">
        <f>(E22-F22)/F22</f>
        <v>1.5</v>
      </c>
      <c r="C22" s="50">
        <f>E22-[1]Poland!E22</f>
        <v>-13000</v>
      </c>
      <c r="D22" s="1">
        <f>F22-[1]Poland!F22</f>
        <v>-12000</v>
      </c>
      <c r="E22" s="114">
        <v>5000</v>
      </c>
      <c r="F22" s="1">
        <v>2000</v>
      </c>
      <c r="G22" s="1">
        <v>2000</v>
      </c>
      <c r="H22" s="1">
        <v>0</v>
      </c>
      <c r="I22" s="1">
        <v>2000</v>
      </c>
      <c r="J22" s="1">
        <v>0</v>
      </c>
      <c r="K22" s="1">
        <v>0</v>
      </c>
      <c r="L22" s="1">
        <v>3000</v>
      </c>
      <c r="M22" s="1">
        <v>0</v>
      </c>
      <c r="N22" s="1">
        <v>5000</v>
      </c>
      <c r="O22" s="1">
        <v>0</v>
      </c>
      <c r="P22" s="1">
        <v>2500</v>
      </c>
      <c r="Q22" s="1">
        <v>2000</v>
      </c>
      <c r="R22" s="1">
        <v>8000</v>
      </c>
      <c r="S22" s="1">
        <v>3000</v>
      </c>
      <c r="T22" s="1">
        <v>1000</v>
      </c>
      <c r="U22" s="29">
        <v>5000</v>
      </c>
    </row>
    <row r="23" spans="1:22" x14ac:dyDescent="0.25">
      <c r="A23" s="40" t="s">
        <v>93</v>
      </c>
      <c r="B23" s="27"/>
      <c r="C23" s="50">
        <f>E23-[1]Poland!E23</f>
        <v>0</v>
      </c>
      <c r="D23" s="1">
        <f>F23-[1]Poland!F23</f>
        <v>0</v>
      </c>
      <c r="E23" s="114"/>
      <c r="F23" s="1"/>
      <c r="G23" s="1"/>
      <c r="H23" s="1">
        <v>0</v>
      </c>
      <c r="I23" s="1"/>
      <c r="J23" s="1">
        <v>0</v>
      </c>
      <c r="K23" s="1"/>
      <c r="L23" s="1">
        <v>0</v>
      </c>
      <c r="M23" s="1"/>
      <c r="N23" s="1"/>
      <c r="O23" s="1"/>
      <c r="P23" s="1"/>
      <c r="Q23" s="1">
        <v>0</v>
      </c>
      <c r="R23" s="1">
        <v>0</v>
      </c>
      <c r="S23" s="1">
        <v>0</v>
      </c>
      <c r="T23" s="1">
        <v>0</v>
      </c>
      <c r="U23" s="29">
        <v>0</v>
      </c>
    </row>
    <row r="24" spans="1:22" ht="13.8" thickBot="1" x14ac:dyDescent="0.3">
      <c r="A24" s="30" t="s">
        <v>59</v>
      </c>
      <c r="B24" s="27">
        <f>(E24-F24)/F24</f>
        <v>0</v>
      </c>
      <c r="C24" s="51">
        <f>E24-[1]Poland!E24</f>
        <v>-1000</v>
      </c>
      <c r="D24" s="10">
        <f>F24-[1]Poland!F24</f>
        <v>-2000</v>
      </c>
      <c r="E24" s="116">
        <v>1000</v>
      </c>
      <c r="F24" s="10">
        <v>1000</v>
      </c>
      <c r="G24" s="10"/>
      <c r="H24" s="10">
        <v>0</v>
      </c>
      <c r="I24" s="10"/>
      <c r="J24" s="10">
        <v>0</v>
      </c>
      <c r="K24" s="10">
        <v>0</v>
      </c>
      <c r="L24" s="10">
        <v>0</v>
      </c>
      <c r="M24" s="10">
        <v>0</v>
      </c>
      <c r="N24" s="10">
        <v>1000</v>
      </c>
      <c r="O24" s="10">
        <v>0</v>
      </c>
      <c r="P24" s="10">
        <v>0</v>
      </c>
      <c r="Q24" s="10">
        <v>1000</v>
      </c>
      <c r="R24" s="10">
        <v>1000</v>
      </c>
      <c r="S24" s="10">
        <v>2000</v>
      </c>
      <c r="T24" s="10">
        <v>0</v>
      </c>
      <c r="U24" s="31">
        <v>1000</v>
      </c>
    </row>
    <row r="25" spans="1:22" ht="13.8" thickBot="1" x14ac:dyDescent="0.3">
      <c r="A25" s="32" t="s">
        <v>23</v>
      </c>
      <c r="B25" s="143">
        <f>(E25-F25)/F25</f>
        <v>1</v>
      </c>
      <c r="C25" s="70">
        <f>E25-[1]Poland!E25</f>
        <v>-14000</v>
      </c>
      <c r="D25" s="34">
        <f>F25-[1]Poland!F25</f>
        <v>-14000</v>
      </c>
      <c r="E25" s="117">
        <f>SUM(E22:E24)</f>
        <v>6000</v>
      </c>
      <c r="F25" s="34">
        <f>SUM(F22:F24)</f>
        <v>3000</v>
      </c>
      <c r="G25" s="34">
        <f>SUM(G22:G24)</f>
        <v>2000</v>
      </c>
      <c r="H25" s="34">
        <v>0</v>
      </c>
      <c r="I25" s="34">
        <f>SUM(I22:I24)</f>
        <v>2000</v>
      </c>
      <c r="J25" s="34">
        <v>0</v>
      </c>
      <c r="K25" s="34">
        <v>0</v>
      </c>
      <c r="L25" s="34">
        <f>SUM(L22:L24)</f>
        <v>3000</v>
      </c>
      <c r="M25" s="34">
        <f>SUM(M22:M24)</f>
        <v>0</v>
      </c>
      <c r="N25" s="34">
        <f>SUM(N22:N24)</f>
        <v>6000</v>
      </c>
      <c r="O25" s="34">
        <f>SUM(O22:O24)</f>
        <v>0</v>
      </c>
      <c r="P25" s="34">
        <f t="shared" ref="P25:U25" si="2">SUM(P22:P24)</f>
        <v>2500</v>
      </c>
      <c r="Q25" s="34">
        <f t="shared" si="2"/>
        <v>3000</v>
      </c>
      <c r="R25" s="34">
        <f t="shared" si="2"/>
        <v>9000</v>
      </c>
      <c r="S25" s="34">
        <f t="shared" si="2"/>
        <v>5000</v>
      </c>
      <c r="T25" s="34">
        <f t="shared" si="2"/>
        <v>1000</v>
      </c>
      <c r="U25" s="35">
        <f t="shared" si="2"/>
        <v>6000</v>
      </c>
    </row>
    <row r="27" spans="1:22" x14ac:dyDescent="0.25">
      <c r="A27" s="3" t="s">
        <v>171</v>
      </c>
    </row>
    <row r="28" spans="1:22" x14ac:dyDescent="0.25">
      <c r="A28" s="3" t="s">
        <v>172</v>
      </c>
    </row>
    <row r="32" spans="1:22" ht="17.399999999999999" x14ac:dyDescent="0.3">
      <c r="T32" s="5"/>
      <c r="U32" s="1"/>
      <c r="V32" s="1"/>
    </row>
    <row r="33" spans="20:22" ht="17.399999999999999" x14ac:dyDescent="0.3">
      <c r="T33" s="5"/>
      <c r="U33" s="1"/>
      <c r="V33" s="1"/>
    </row>
    <row r="34" spans="20:22" ht="17.399999999999999" x14ac:dyDescent="0.3">
      <c r="T34" s="5"/>
      <c r="U34" s="1"/>
      <c r="V34" s="1"/>
    </row>
    <row r="35" spans="20:22" ht="17.399999999999999" x14ac:dyDescent="0.3">
      <c r="T35" s="5"/>
      <c r="U35" s="1"/>
      <c r="V35" s="1"/>
    </row>
    <row r="36" spans="20:22" ht="17.399999999999999" x14ac:dyDescent="0.3">
      <c r="T36" s="5"/>
      <c r="U36" s="1"/>
      <c r="V36" s="1"/>
    </row>
    <row r="37" spans="20:22" ht="17.399999999999999" x14ac:dyDescent="0.3">
      <c r="T37" s="5"/>
      <c r="U37" s="1"/>
      <c r="V37" s="1"/>
    </row>
    <row r="38" spans="20:22" ht="17.399999999999999" x14ac:dyDescent="0.3">
      <c r="T38" s="5"/>
      <c r="U38" s="1"/>
      <c r="V38" s="1"/>
    </row>
    <row r="39" spans="20:22" ht="17.399999999999999" x14ac:dyDescent="0.3">
      <c r="T39" s="5"/>
      <c r="U39" s="1"/>
      <c r="V39" s="1"/>
    </row>
    <row r="40" spans="20:22" ht="17.399999999999999" x14ac:dyDescent="0.3">
      <c r="T40" s="5"/>
      <c r="U40" s="1"/>
      <c r="V40" s="1"/>
    </row>
    <row r="41" spans="20:22" ht="17.399999999999999" x14ac:dyDescent="0.3">
      <c r="T41" s="5"/>
      <c r="U41" s="1"/>
      <c r="V41" s="1"/>
    </row>
    <row r="42" spans="20:22" ht="17.399999999999999" x14ac:dyDescent="0.3">
      <c r="T42" s="6"/>
      <c r="U42" s="1"/>
      <c r="V42" s="1"/>
    </row>
    <row r="43" spans="20:22" ht="18" x14ac:dyDescent="0.35">
      <c r="T43" s="7"/>
      <c r="U43" s="2"/>
      <c r="V43" s="2"/>
    </row>
  </sheetData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15"/>
  <sheetViews>
    <sheetView workbookViewId="0"/>
  </sheetViews>
  <sheetFormatPr defaultColWidth="8.77734375" defaultRowHeight="13.2" x14ac:dyDescent="0.25"/>
  <cols>
    <col min="1" max="1" width="22.6640625" customWidth="1"/>
    <col min="2" max="2" width="10.6640625" customWidth="1"/>
    <col min="3" max="3" width="11.6640625" bestFit="1" customWidth="1"/>
    <col min="4" max="4" width="11.33203125" bestFit="1" customWidth="1"/>
    <col min="5" max="10" width="11.33203125" customWidth="1"/>
    <col min="11" max="19" width="10.6640625" customWidth="1"/>
  </cols>
  <sheetData>
    <row r="1" spans="1:20" ht="13.8" thickBot="1" x14ac:dyDescent="0.3">
      <c r="A1" s="39" t="s">
        <v>91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6">
        <v>39873</v>
      </c>
    </row>
    <row r="2" spans="1:20" x14ac:dyDescent="0.25">
      <c r="A2" s="40" t="s">
        <v>9</v>
      </c>
      <c r="B2" s="47"/>
      <c r="C2" s="126"/>
      <c r="D2" s="38"/>
      <c r="E2" s="43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65"/>
    </row>
    <row r="3" spans="1:20" x14ac:dyDescent="0.25">
      <c r="A3" s="40" t="s">
        <v>146</v>
      </c>
      <c r="B3" s="47"/>
      <c r="C3" s="126"/>
      <c r="D3" s="38"/>
      <c r="E3" s="43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65"/>
    </row>
    <row r="4" spans="1:20" x14ac:dyDescent="0.25">
      <c r="A4" s="40" t="s">
        <v>27</v>
      </c>
      <c r="B4" s="47"/>
      <c r="C4" s="126"/>
      <c r="D4" s="38"/>
      <c r="E4" s="43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65"/>
    </row>
    <row r="5" spans="1:20" x14ac:dyDescent="0.25">
      <c r="A5" s="40" t="s">
        <v>26</v>
      </c>
      <c r="B5" s="47"/>
      <c r="C5" s="126"/>
      <c r="D5" s="38"/>
      <c r="E5" s="43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65"/>
    </row>
    <row r="6" spans="1:20" x14ac:dyDescent="0.25">
      <c r="A6" s="40" t="s">
        <v>19</v>
      </c>
      <c r="B6" s="47"/>
      <c r="C6" s="126"/>
      <c r="D6" s="38"/>
      <c r="E6" s="43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65"/>
      <c r="T6" s="1"/>
    </row>
    <row r="7" spans="1:20" x14ac:dyDescent="0.25">
      <c r="A7" s="40" t="s">
        <v>88</v>
      </c>
      <c r="B7" s="47"/>
      <c r="C7" s="126"/>
      <c r="D7" s="38"/>
      <c r="E7" s="43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65"/>
    </row>
    <row r="8" spans="1:20" ht="13.8" thickBot="1" x14ac:dyDescent="0.3">
      <c r="A8" s="41" t="s">
        <v>6</v>
      </c>
      <c r="B8" s="48"/>
      <c r="C8" s="124"/>
      <c r="D8" s="38"/>
      <c r="E8" s="43"/>
      <c r="F8" s="38"/>
      <c r="G8" s="38"/>
      <c r="H8" s="38"/>
      <c r="I8" s="38"/>
      <c r="J8" s="38"/>
      <c r="K8" s="37"/>
      <c r="L8" s="38"/>
      <c r="M8" s="38"/>
      <c r="N8" s="38"/>
      <c r="O8" s="38"/>
      <c r="P8" s="38"/>
      <c r="Q8" s="38"/>
      <c r="R8" s="38"/>
      <c r="S8" s="65"/>
    </row>
    <row r="9" spans="1:20" ht="13.8" thickBot="1" x14ac:dyDescent="0.3">
      <c r="A9" s="42" t="s">
        <v>92</v>
      </c>
      <c r="B9" s="75"/>
      <c r="C9" s="125"/>
      <c r="D9" s="46"/>
      <c r="E9" s="45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86"/>
    </row>
    <row r="11" spans="1:20" ht="13.8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0" s="52" customFormat="1" ht="13.8" thickBot="1" x14ac:dyDescent="0.3">
      <c r="A12" s="53" t="s">
        <v>91</v>
      </c>
      <c r="B12" s="24" t="s">
        <v>176</v>
      </c>
      <c r="C12" s="49" t="s">
        <v>177</v>
      </c>
      <c r="D12" s="25" t="s">
        <v>173</v>
      </c>
      <c r="E12" s="115">
        <v>44986</v>
      </c>
      <c r="F12" s="25">
        <v>44621</v>
      </c>
      <c r="G12" s="25">
        <v>44256</v>
      </c>
      <c r="H12" s="25">
        <v>43891</v>
      </c>
      <c r="I12" s="25">
        <v>43525</v>
      </c>
      <c r="J12" s="25">
        <v>43160</v>
      </c>
      <c r="K12" s="25">
        <v>42795</v>
      </c>
      <c r="L12" s="92">
        <v>42430</v>
      </c>
      <c r="M12" s="92">
        <f>M1</f>
        <v>42064</v>
      </c>
      <c r="N12" s="92">
        <v>41699</v>
      </c>
      <c r="O12" s="92">
        <v>41334</v>
      </c>
      <c r="P12" s="92">
        <v>40969</v>
      </c>
      <c r="Q12" s="92">
        <v>40603</v>
      </c>
      <c r="R12" s="92">
        <v>40238</v>
      </c>
      <c r="S12" s="93">
        <v>39873</v>
      </c>
    </row>
    <row r="13" spans="1:20" s="52" customFormat="1" ht="13.8" thickBot="1" x14ac:dyDescent="0.3">
      <c r="A13" s="54" t="s">
        <v>147</v>
      </c>
      <c r="B13" s="55">
        <f>(E13-F13)/F13</f>
        <v>-0.74260928849341157</v>
      </c>
      <c r="C13" s="134">
        <f>E13-[2]Portugal!E13</f>
        <v>-33382.964223139912</v>
      </c>
      <c r="D13" s="57">
        <f>F13-[2]Portugal!F13</f>
        <v>-42574</v>
      </c>
      <c r="E13" s="56">
        <v>21897</v>
      </c>
      <c r="F13" s="57">
        <v>85073</v>
      </c>
      <c r="G13" s="57">
        <v>25459</v>
      </c>
      <c r="H13" s="57">
        <v>46875</v>
      </c>
      <c r="I13" s="57">
        <v>41335</v>
      </c>
      <c r="J13" s="57">
        <v>36205</v>
      </c>
      <c r="K13" s="57">
        <v>27028</v>
      </c>
      <c r="L13" s="57">
        <v>16378</v>
      </c>
      <c r="M13" s="57">
        <v>41422</v>
      </c>
      <c r="N13" s="57">
        <v>45904</v>
      </c>
      <c r="O13" s="57">
        <v>11886</v>
      </c>
      <c r="P13" s="57">
        <v>35230</v>
      </c>
      <c r="Q13" s="57">
        <v>21516.400000000001</v>
      </c>
      <c r="R13" s="57">
        <v>45419.69</v>
      </c>
      <c r="S13" s="67">
        <v>22919.7</v>
      </c>
    </row>
    <row r="14" spans="1:20" s="52" customFormat="1" ht="13.8" thickBot="1" x14ac:dyDescent="0.3">
      <c r="A14" s="53" t="s">
        <v>92</v>
      </c>
      <c r="B14" s="62">
        <f>(E14-F14)/F14</f>
        <v>-0.74260928849341157</v>
      </c>
      <c r="C14" s="136">
        <f>E14-[2]Portugal!E14</f>
        <v>-33382.964223139912</v>
      </c>
      <c r="D14" s="80">
        <f>F14-[2]Portugal!F14</f>
        <v>-42574</v>
      </c>
      <c r="E14" s="63">
        <v>21897</v>
      </c>
      <c r="F14" s="80">
        <f>SUM(F13)</f>
        <v>85073</v>
      </c>
      <c r="G14" s="80">
        <f>SUM(G13)</f>
        <v>25459</v>
      </c>
      <c r="H14" s="80">
        <f>SUM(H13)</f>
        <v>46875</v>
      </c>
      <c r="I14" s="80">
        <f>SUM(I13)</f>
        <v>41335</v>
      </c>
      <c r="J14" s="80">
        <v>36205</v>
      </c>
      <c r="K14" s="80">
        <v>27028</v>
      </c>
      <c r="L14" s="80">
        <f>SUM(L13)</f>
        <v>16378</v>
      </c>
      <c r="M14" s="80">
        <f>SUM(M13)</f>
        <v>41422</v>
      </c>
      <c r="N14" s="80">
        <f>SUM(N13)</f>
        <v>45904</v>
      </c>
      <c r="O14" s="80">
        <f>SUM(O13)</f>
        <v>11886</v>
      </c>
      <c r="P14" s="80">
        <f>SUM(P13)</f>
        <v>35230</v>
      </c>
      <c r="Q14" s="80">
        <f>SUM(Q13:Q13)</f>
        <v>21516.400000000001</v>
      </c>
      <c r="R14" s="80">
        <f>SUM(R13:R13)</f>
        <v>45419.69</v>
      </c>
      <c r="S14" s="81">
        <f>SUM(S13:S13)</f>
        <v>22919.7</v>
      </c>
    </row>
    <row r="15" spans="1:20" x14ac:dyDescent="0.25">
      <c r="A15" s="3" t="s">
        <v>161</v>
      </c>
    </row>
  </sheetData>
  <pageMargins left="0.75" right="0.75" top="1" bottom="1" header="0.5" footer="0.5"/>
  <pageSetup paperSize="9" scale="66" fitToHeight="3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17"/>
  <sheetViews>
    <sheetView workbookViewId="0"/>
  </sheetViews>
  <sheetFormatPr defaultColWidth="8.77734375" defaultRowHeight="13.2" x14ac:dyDescent="0.25"/>
  <cols>
    <col min="1" max="1" width="18.77734375" customWidth="1"/>
    <col min="2" max="2" width="10.6640625" customWidth="1"/>
    <col min="3" max="3" width="11.6640625" bestFit="1" customWidth="1"/>
    <col min="4" max="4" width="11.33203125" bestFit="1" customWidth="1"/>
    <col min="5" max="10" width="11.33203125" customWidth="1"/>
    <col min="11" max="21" width="10.109375" bestFit="1" customWidth="1"/>
  </cols>
  <sheetData>
    <row r="1" spans="1:21" ht="13.8" thickBot="1" x14ac:dyDescent="0.3">
      <c r="A1" s="23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1" x14ac:dyDescent="0.25">
      <c r="A2" s="20" t="s">
        <v>109</v>
      </c>
      <c r="B2" s="27">
        <f t="shared" ref="B2:B8" si="0">(E2-F2)/F2</f>
        <v>-0.2642852301226869</v>
      </c>
      <c r="C2" s="50">
        <f>E2-[1]Spain!E2</f>
        <v>-3210.4257235661971</v>
      </c>
      <c r="D2" s="1">
        <f>F2-[1]Spain!F2</f>
        <v>-1970.7013983188954</v>
      </c>
      <c r="E2" s="114">
        <v>10854</v>
      </c>
      <c r="F2" s="1">
        <v>14753</v>
      </c>
      <c r="G2" s="1">
        <v>13563.762978779747</v>
      </c>
      <c r="H2" s="1">
        <v>16346.97722309185</v>
      </c>
      <c r="I2" s="1">
        <v>17557</v>
      </c>
      <c r="J2" s="1">
        <v>11347</v>
      </c>
      <c r="K2" s="1">
        <v>16971.925544119375</v>
      </c>
      <c r="L2" s="1">
        <v>12322</v>
      </c>
      <c r="M2" s="1">
        <v>9545.0945935274012</v>
      </c>
      <c r="N2" s="1">
        <v>12229.762115579553</v>
      </c>
      <c r="O2" s="1">
        <v>4215.8452171170056</v>
      </c>
      <c r="P2" s="1">
        <v>7893.1435926622207</v>
      </c>
      <c r="Q2" s="1">
        <v>8207.2398047594252</v>
      </c>
      <c r="R2" s="1">
        <v>6962.0423691892838</v>
      </c>
      <c r="S2" s="1">
        <v>8912</v>
      </c>
      <c r="T2" s="1">
        <v>9059</v>
      </c>
      <c r="U2" s="29">
        <v>3273</v>
      </c>
    </row>
    <row r="3" spans="1:21" x14ac:dyDescent="0.25">
      <c r="A3" s="20" t="s">
        <v>110</v>
      </c>
      <c r="B3" s="27">
        <f t="shared" si="0"/>
        <v>-0.52164553934465441</v>
      </c>
      <c r="C3" s="50">
        <f>E3-[1]Spain!E3</f>
        <v>-2504.7803997169603</v>
      </c>
      <c r="D3" s="1">
        <f>F3-[1]Spain!F3</f>
        <v>-5436.0096245487766</v>
      </c>
      <c r="E3" s="114">
        <v>2000</v>
      </c>
      <c r="F3" s="1">
        <v>4181</v>
      </c>
      <c r="G3" s="1">
        <v>3965.5573699668967</v>
      </c>
      <c r="H3" s="1">
        <v>2773.1040720429078</v>
      </c>
      <c r="I3" s="1">
        <v>4143</v>
      </c>
      <c r="J3" s="1">
        <v>2597</v>
      </c>
      <c r="K3" s="1">
        <v>4802.1944874119617</v>
      </c>
      <c r="L3" s="1">
        <v>2561</v>
      </c>
      <c r="M3" s="1">
        <v>3739.6386206834932</v>
      </c>
      <c r="N3" s="1">
        <v>1157.9041672070416</v>
      </c>
      <c r="O3" s="1">
        <v>412.90944150148073</v>
      </c>
      <c r="P3" s="1">
        <v>1136.3663351247233</v>
      </c>
      <c r="Q3" s="1">
        <v>1248.8519637793288</v>
      </c>
      <c r="R3" s="1">
        <v>1141.0592813986896</v>
      </c>
      <c r="S3" s="1">
        <v>2734</v>
      </c>
      <c r="T3" s="1">
        <v>2596</v>
      </c>
      <c r="U3" s="29">
        <v>457</v>
      </c>
    </row>
    <row r="4" spans="1:21" x14ac:dyDescent="0.25">
      <c r="A4" s="20" t="s">
        <v>111</v>
      </c>
      <c r="B4" s="27">
        <f t="shared" si="0"/>
        <v>-0.4079049512449115</v>
      </c>
      <c r="C4" s="50">
        <f>E4-[1]Spain!E4</f>
        <v>-11523.942518102165</v>
      </c>
      <c r="D4" s="1">
        <f>F4-[1]Spain!F4</f>
        <v>-13459.775195114606</v>
      </c>
      <c r="E4" s="114">
        <v>62543</v>
      </c>
      <c r="F4" s="1">
        <v>105630</v>
      </c>
      <c r="G4" s="1">
        <v>62408.7328844164</v>
      </c>
      <c r="H4" s="1">
        <v>123040.72993710985</v>
      </c>
      <c r="I4" s="1">
        <v>88545</v>
      </c>
      <c r="J4" s="1">
        <v>80026</v>
      </c>
      <c r="K4" s="1">
        <v>112692.2032818414</v>
      </c>
      <c r="L4" s="1">
        <v>77258</v>
      </c>
      <c r="M4" s="1">
        <v>95460.715300518306</v>
      </c>
      <c r="N4" s="1">
        <v>82848.67342369401</v>
      </c>
      <c r="O4" s="1">
        <v>54462.38475622925</v>
      </c>
      <c r="P4" s="1">
        <v>99762.215160438966</v>
      </c>
      <c r="Q4" s="1">
        <v>95114.300626206197</v>
      </c>
      <c r="R4" s="1">
        <v>76540.612423303537</v>
      </c>
      <c r="S4" s="1">
        <v>100092</v>
      </c>
      <c r="T4" s="1">
        <v>79584</v>
      </c>
      <c r="U4" s="29">
        <v>70546</v>
      </c>
    </row>
    <row r="5" spans="1:21" x14ac:dyDescent="0.25">
      <c r="A5" s="20" t="s">
        <v>17</v>
      </c>
      <c r="B5" s="27">
        <f t="shared" si="0"/>
        <v>-0.41967808930425754</v>
      </c>
      <c r="C5" s="50">
        <f>E5-[1]Spain!E5</f>
        <v>-2410.9353211333619</v>
      </c>
      <c r="D5" s="1">
        <f>F5-[1]Spain!F5</f>
        <v>-3336.5574992674883</v>
      </c>
      <c r="E5" s="114">
        <v>11177</v>
      </c>
      <c r="F5" s="1">
        <v>19260</v>
      </c>
      <c r="G5" s="1">
        <v>12452.857227316863</v>
      </c>
      <c r="H5" s="1">
        <v>16084.063989450096</v>
      </c>
      <c r="I5" s="1">
        <v>14422</v>
      </c>
      <c r="J5" s="1">
        <v>13559</v>
      </c>
      <c r="K5" s="1">
        <v>12903.401047627773</v>
      </c>
      <c r="L5" s="1">
        <v>10856</v>
      </c>
      <c r="M5" s="1">
        <v>8316.5101176993594</v>
      </c>
      <c r="N5" s="1">
        <v>7348.4648730054159</v>
      </c>
      <c r="O5" s="1">
        <v>5198.486219931814</v>
      </c>
      <c r="P5" s="1">
        <v>6363.4285454256733</v>
      </c>
      <c r="Q5" s="1">
        <v>2176.6758826854252</v>
      </c>
      <c r="R5" s="1">
        <v>7183.0570579323266</v>
      </c>
      <c r="S5" s="1">
        <v>4699</v>
      </c>
      <c r="T5" s="1">
        <v>2523</v>
      </c>
      <c r="U5" s="29">
        <v>1962</v>
      </c>
    </row>
    <row r="6" spans="1:21" x14ac:dyDescent="0.25">
      <c r="A6" s="20" t="s">
        <v>19</v>
      </c>
      <c r="B6" s="27">
        <f t="shared" si="0"/>
        <v>-0.38571711438188899</v>
      </c>
      <c r="C6" s="50">
        <f>E6-[1]Spain!E6</f>
        <v>-282.42204618208416</v>
      </c>
      <c r="D6" s="1">
        <f>F6-[1]Spain!F6</f>
        <v>-1337.9874872789624</v>
      </c>
      <c r="E6" s="114">
        <v>9307</v>
      </c>
      <c r="F6" s="1">
        <v>15151</v>
      </c>
      <c r="G6" s="1">
        <v>10321.264716182359</v>
      </c>
      <c r="H6" s="1">
        <v>13671.253878470032</v>
      </c>
      <c r="I6" s="1">
        <v>12423</v>
      </c>
      <c r="J6" s="1">
        <v>10069</v>
      </c>
      <c r="K6" s="76">
        <v>9107.9911628974914</v>
      </c>
      <c r="L6" s="76">
        <v>10770</v>
      </c>
      <c r="M6" s="76">
        <v>8453.6325771309203</v>
      </c>
      <c r="N6" s="76">
        <v>5136.6003071373671</v>
      </c>
      <c r="O6" s="76">
        <v>3941.0384548791671</v>
      </c>
      <c r="P6" s="76">
        <v>7884.9622607751608</v>
      </c>
      <c r="Q6" s="76">
        <v>6868.4035431215834</v>
      </c>
      <c r="R6" s="76">
        <v>6739.61552109884</v>
      </c>
      <c r="S6" s="76">
        <v>16108</v>
      </c>
      <c r="T6" s="1">
        <v>9724</v>
      </c>
      <c r="U6" s="29">
        <v>9790</v>
      </c>
    </row>
    <row r="7" spans="1:21" ht="13.8" thickBot="1" x14ac:dyDescent="0.3">
      <c r="A7" s="22" t="s">
        <v>59</v>
      </c>
      <c r="B7" s="27">
        <f t="shared" si="0"/>
        <v>-6.0645073858246377E-2</v>
      </c>
      <c r="C7" s="51">
        <f>E7-[1]Spain!E7</f>
        <v>-1783.5</v>
      </c>
      <c r="D7" s="10">
        <f>F7-[1]Spain!F7</f>
        <v>-2834.0200000000004</v>
      </c>
      <c r="E7" s="116">
        <v>13863</v>
      </c>
      <c r="F7" s="10">
        <v>14758</v>
      </c>
      <c r="G7" s="10">
        <v>11313</v>
      </c>
      <c r="H7" s="10">
        <v>15818.9</v>
      </c>
      <c r="I7" s="10">
        <v>8549</v>
      </c>
      <c r="J7" s="10">
        <v>7328</v>
      </c>
      <c r="K7" s="77">
        <v>7876.0375000000004</v>
      </c>
      <c r="L7" s="77">
        <v>6829</v>
      </c>
      <c r="M7" s="77">
        <v>6990.5320000000002</v>
      </c>
      <c r="N7" s="77">
        <v>6324.7370000000001</v>
      </c>
      <c r="O7" s="77">
        <v>4617.2299999999996</v>
      </c>
      <c r="P7" s="77">
        <v>7615.54</v>
      </c>
      <c r="Q7" s="77">
        <v>5319.49</v>
      </c>
      <c r="R7" s="77">
        <v>5101.92</v>
      </c>
      <c r="S7" s="77">
        <v>5644</v>
      </c>
      <c r="T7" s="10">
        <v>4007</v>
      </c>
      <c r="U7" s="31">
        <v>5018</v>
      </c>
    </row>
    <row r="8" spans="1:21" ht="13.8" thickBot="1" x14ac:dyDescent="0.3">
      <c r="A8" s="32" t="s">
        <v>23</v>
      </c>
      <c r="B8" s="143">
        <f t="shared" si="0"/>
        <v>-0.36831805126256956</v>
      </c>
      <c r="C8" s="70">
        <f>E8-[1]Spain!E8</f>
        <v>-21716.006008700759</v>
      </c>
      <c r="D8" s="34">
        <f>F8-[1]Spain!F8</f>
        <v>-28375.051204528718</v>
      </c>
      <c r="E8" s="117">
        <f>SUM(E2:E7)</f>
        <v>109744</v>
      </c>
      <c r="F8" s="34">
        <f>SUM(F2:F7)</f>
        <v>173733</v>
      </c>
      <c r="G8" s="34">
        <f>SUM(G2:G7)</f>
        <v>114025.17517666228</v>
      </c>
      <c r="H8" s="34">
        <f>SUM(H2:H7)</f>
        <v>187735.02910016474</v>
      </c>
      <c r="I8" s="34">
        <f>SUM(I2:I7)</f>
        <v>145639</v>
      </c>
      <c r="J8" s="34">
        <f t="shared" ref="J8:O8" si="1">SUM(J2:J7)</f>
        <v>124926</v>
      </c>
      <c r="K8" s="34">
        <f t="shared" si="1"/>
        <v>164353.753023898</v>
      </c>
      <c r="L8" s="34">
        <f t="shared" si="1"/>
        <v>120596</v>
      </c>
      <c r="M8" s="34">
        <f t="shared" si="1"/>
        <v>132506.12320955948</v>
      </c>
      <c r="N8" s="34">
        <f t="shared" si="1"/>
        <v>115046.14188662339</v>
      </c>
      <c r="O8" s="34">
        <f t="shared" si="1"/>
        <v>72847.894089658716</v>
      </c>
      <c r="P8" s="34">
        <f t="shared" ref="P8:U8" si="2">SUM(P2:P7)</f>
        <v>130655.65589442675</v>
      </c>
      <c r="Q8" s="34">
        <f t="shared" si="2"/>
        <v>118934.96182055197</v>
      </c>
      <c r="R8" s="34">
        <f t="shared" si="2"/>
        <v>103668.30665292266</v>
      </c>
      <c r="S8" s="34">
        <f t="shared" si="2"/>
        <v>138189</v>
      </c>
      <c r="T8" s="34">
        <f t="shared" si="2"/>
        <v>107493</v>
      </c>
      <c r="U8" s="35">
        <f t="shared" si="2"/>
        <v>91046</v>
      </c>
    </row>
    <row r="9" spans="1:21" x14ac:dyDescent="0.25">
      <c r="B9" s="36"/>
      <c r="C9" s="36"/>
      <c r="D9" s="36"/>
      <c r="E9" s="36"/>
      <c r="F9" s="36"/>
      <c r="G9" s="36"/>
      <c r="H9" s="36"/>
      <c r="I9" s="36"/>
      <c r="J9" s="36"/>
    </row>
    <row r="10" spans="1:21" ht="13.8" thickBot="1" x14ac:dyDescent="0.3">
      <c r="B10" s="36"/>
      <c r="C10" s="36"/>
      <c r="D10" s="36"/>
      <c r="E10" s="36"/>
      <c r="F10" s="36"/>
      <c r="G10" s="36"/>
      <c r="H10" s="36"/>
      <c r="I10" s="36"/>
      <c r="J10" s="36"/>
    </row>
    <row r="11" spans="1:21" ht="13.8" thickBot="1" x14ac:dyDescent="0.3">
      <c r="A11" s="23" t="s">
        <v>25</v>
      </c>
      <c r="B11" s="24" t="s">
        <v>176</v>
      </c>
      <c r="C11" s="49" t="s">
        <v>177</v>
      </c>
      <c r="D11" s="25" t="s">
        <v>173</v>
      </c>
      <c r="E11" s="115">
        <v>44986</v>
      </c>
      <c r="F11" s="25">
        <v>44621</v>
      </c>
      <c r="G11" s="25">
        <v>44256</v>
      </c>
      <c r="H11" s="25">
        <v>43891</v>
      </c>
      <c r="I11" s="25">
        <v>43525</v>
      </c>
      <c r="J11" s="25">
        <v>43160</v>
      </c>
      <c r="K11" s="25">
        <v>42795</v>
      </c>
      <c r="L11" s="25">
        <v>42430</v>
      </c>
      <c r="M11" s="25">
        <v>42064</v>
      </c>
      <c r="N11" s="25">
        <v>41699</v>
      </c>
      <c r="O11" s="25">
        <v>41334</v>
      </c>
      <c r="P11" s="25">
        <v>40969</v>
      </c>
      <c r="Q11" s="25">
        <v>40603</v>
      </c>
      <c r="R11" s="25">
        <v>40238</v>
      </c>
      <c r="S11" s="25">
        <v>39873</v>
      </c>
      <c r="T11" s="25">
        <v>39508</v>
      </c>
      <c r="U11" s="26">
        <v>39142</v>
      </c>
    </row>
    <row r="12" spans="1:21" x14ac:dyDescent="0.25">
      <c r="A12" s="20" t="s">
        <v>38</v>
      </c>
      <c r="B12" s="27">
        <f>(E12-F12)/F12</f>
        <v>0.49143835616438358</v>
      </c>
      <c r="C12" s="50">
        <f>E12-[1]Spain!E12</f>
        <v>-29.495233167710694</v>
      </c>
      <c r="D12" s="1">
        <f>F12-[1]Spain!F12</f>
        <v>-890.26317061522559</v>
      </c>
      <c r="E12" s="114">
        <v>871</v>
      </c>
      <c r="F12" s="1">
        <v>584</v>
      </c>
      <c r="G12" s="1">
        <v>1666.8866853587681</v>
      </c>
      <c r="H12" s="1">
        <v>1739.8742145811325</v>
      </c>
      <c r="I12" s="1">
        <v>1211</v>
      </c>
      <c r="J12" s="1">
        <v>2105</v>
      </c>
      <c r="K12" s="1">
        <v>2528.3977759210102</v>
      </c>
      <c r="L12" s="1">
        <v>954</v>
      </c>
      <c r="M12" s="1">
        <v>1614.3769997815843</v>
      </c>
      <c r="N12" s="1">
        <v>4446.8339917737203</v>
      </c>
      <c r="O12" s="1">
        <v>953.49438183893142</v>
      </c>
      <c r="P12" s="1">
        <v>5278.982664625848</v>
      </c>
      <c r="Q12" s="1">
        <v>3088.7458971387505</v>
      </c>
      <c r="R12" s="1">
        <v>3773</v>
      </c>
      <c r="S12" s="1">
        <v>1783</v>
      </c>
      <c r="T12" s="1">
        <v>1966</v>
      </c>
      <c r="U12" s="29">
        <v>5380</v>
      </c>
    </row>
    <row r="13" spans="1:21" x14ac:dyDescent="0.25">
      <c r="A13" s="20" t="s">
        <v>39</v>
      </c>
      <c r="B13" s="27">
        <f>(E13-F13)/F13</f>
        <v>0.69478672985781986</v>
      </c>
      <c r="C13" s="50">
        <f>E13-[1]Spain!E13</f>
        <v>-720.43911778129814</v>
      </c>
      <c r="D13" s="1">
        <f>F13-[1]Spain!F13</f>
        <v>-565.01550052139009</v>
      </c>
      <c r="E13" s="114">
        <v>1788</v>
      </c>
      <c r="F13" s="1">
        <v>1055</v>
      </c>
      <c r="G13" s="1">
        <v>3344.8897805433426</v>
      </c>
      <c r="H13" s="1">
        <v>1760.6126604602193</v>
      </c>
      <c r="I13" s="1">
        <v>3402</v>
      </c>
      <c r="J13" s="1">
        <v>5310</v>
      </c>
      <c r="K13" s="1">
        <v>5247.7420849205409</v>
      </c>
      <c r="L13" s="1">
        <v>3573</v>
      </c>
      <c r="M13" s="1">
        <v>8110.6676219501705</v>
      </c>
      <c r="N13" s="1">
        <v>6505.1519680267347</v>
      </c>
      <c r="O13" s="1">
        <v>4468.6188120131083</v>
      </c>
      <c r="P13" s="1">
        <v>8544.7320271821791</v>
      </c>
      <c r="Q13" s="1">
        <v>14159.694303670278</v>
      </c>
      <c r="R13" s="1">
        <v>12138</v>
      </c>
      <c r="S13" s="1">
        <v>5261</v>
      </c>
      <c r="T13" s="1">
        <v>19348</v>
      </c>
      <c r="U13" s="29">
        <v>12961</v>
      </c>
    </row>
    <row r="14" spans="1:21" x14ac:dyDescent="0.25">
      <c r="A14" s="20" t="s">
        <v>7</v>
      </c>
      <c r="B14" s="27">
        <f>(E14-F14)/F14</f>
        <v>-0.33576984608594912</v>
      </c>
      <c r="C14" s="50">
        <f>E14-[1]Spain!E14</f>
        <v>-4598.2917917463492</v>
      </c>
      <c r="D14" s="1">
        <f>F14-[1]Spain!F14</f>
        <v>-8317.9514302083335</v>
      </c>
      <c r="E14" s="114">
        <v>24081</v>
      </c>
      <c r="F14" s="1">
        <v>36254</v>
      </c>
      <c r="G14" s="1">
        <v>30665.766081511352</v>
      </c>
      <c r="H14" s="1">
        <v>37091.545953882262</v>
      </c>
      <c r="I14" s="1">
        <v>34320</v>
      </c>
      <c r="J14" s="1">
        <v>37149</v>
      </c>
      <c r="K14" s="1">
        <v>29924.115106594651</v>
      </c>
      <c r="L14" s="1">
        <v>35804</v>
      </c>
      <c r="M14" s="1">
        <v>39302.597994777461</v>
      </c>
      <c r="N14" s="1">
        <v>46904.797528960116</v>
      </c>
      <c r="O14" s="1">
        <v>21873.585816257426</v>
      </c>
      <c r="P14" s="1">
        <v>61467.789739197811</v>
      </c>
      <c r="Q14" s="1">
        <v>54842.93259886789</v>
      </c>
      <c r="R14" s="1">
        <v>34517</v>
      </c>
      <c r="S14" s="1">
        <v>46048</v>
      </c>
      <c r="T14" s="1">
        <v>28382</v>
      </c>
      <c r="U14" s="29">
        <v>40265</v>
      </c>
    </row>
    <row r="15" spans="1:21" x14ac:dyDescent="0.25">
      <c r="A15" s="20" t="s">
        <v>112</v>
      </c>
      <c r="B15" s="27"/>
      <c r="C15" s="50">
        <f>E15-[1]Spain!E15</f>
        <v>0</v>
      </c>
      <c r="D15" s="1">
        <f>F15-[1]Spain!F15</f>
        <v>0</v>
      </c>
      <c r="E15" s="114"/>
      <c r="F15" s="1"/>
      <c r="G15" s="1">
        <v>0</v>
      </c>
      <c r="H15" s="1">
        <v>1.1464038628572113</v>
      </c>
      <c r="I15" s="1"/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17</v>
      </c>
      <c r="R15" s="1">
        <v>0</v>
      </c>
      <c r="S15" s="1">
        <v>0</v>
      </c>
      <c r="T15" s="1">
        <v>17</v>
      </c>
      <c r="U15" s="29">
        <v>0</v>
      </c>
    </row>
    <row r="16" spans="1:21" ht="13.8" thickBot="1" x14ac:dyDescent="0.3">
      <c r="A16" s="30" t="s">
        <v>59</v>
      </c>
      <c r="B16" s="27">
        <f>(E16-F16)/F16</f>
        <v>1.3798449612403101</v>
      </c>
      <c r="C16" s="51">
        <f>E16-[1]Spain!E16</f>
        <v>-336.55815703976941</v>
      </c>
      <c r="D16" s="10">
        <f>F16-[1]Spain!F16</f>
        <v>-505.00343606351646</v>
      </c>
      <c r="E16" s="116">
        <v>614</v>
      </c>
      <c r="F16" s="10">
        <v>258</v>
      </c>
      <c r="G16" s="10">
        <v>1124.595867915916</v>
      </c>
      <c r="H16" s="10">
        <v>1203.2439106883103</v>
      </c>
      <c r="I16" s="10">
        <v>1163</v>
      </c>
      <c r="J16" s="10">
        <v>1712</v>
      </c>
      <c r="K16" s="10">
        <v>1606.589540433486</v>
      </c>
      <c r="L16" s="10">
        <v>1289</v>
      </c>
      <c r="M16" s="10">
        <v>1062.878587564896</v>
      </c>
      <c r="N16" s="10">
        <v>2747.120857449404</v>
      </c>
      <c r="O16" s="10">
        <v>651.86396541053</v>
      </c>
      <c r="P16" s="10">
        <v>3837.7970279995925</v>
      </c>
      <c r="Q16" s="10">
        <v>2255</v>
      </c>
      <c r="R16" s="10">
        <v>2457</v>
      </c>
      <c r="S16" s="10">
        <v>1651</v>
      </c>
      <c r="T16" s="10">
        <v>3731</v>
      </c>
      <c r="U16" s="31">
        <v>3848</v>
      </c>
    </row>
    <row r="17" spans="1:21" ht="13.8" thickBot="1" x14ac:dyDescent="0.3">
      <c r="A17" s="32" t="s">
        <v>23</v>
      </c>
      <c r="B17" s="111">
        <f>(E17-F17)/F17</f>
        <v>-0.28300699850593691</v>
      </c>
      <c r="C17" s="70">
        <f>E17-[1]Spain!E17</f>
        <v>-5684.7842997351254</v>
      </c>
      <c r="D17" s="34">
        <f>F17-[1]Spain!F17</f>
        <v>-10278.233537408465</v>
      </c>
      <c r="E17" s="117">
        <f>SUM(E12:E16)</f>
        <v>27354</v>
      </c>
      <c r="F17" s="34">
        <f>SUM(F12:F16)</f>
        <v>38151</v>
      </c>
      <c r="G17" s="34">
        <f>SUM(G12:G16)</f>
        <v>36802.138415329377</v>
      </c>
      <c r="H17" s="34">
        <f>SUM(H12:H16)</f>
        <v>41796.423143474778</v>
      </c>
      <c r="I17" s="34">
        <f>SUM(I12:I16)</f>
        <v>40096</v>
      </c>
      <c r="J17" s="34">
        <f t="shared" ref="J17:O17" si="3">SUM(J12:J16)</f>
        <v>46276</v>
      </c>
      <c r="K17" s="34">
        <f t="shared" si="3"/>
        <v>39306.84450786969</v>
      </c>
      <c r="L17" s="34">
        <f t="shared" si="3"/>
        <v>41620</v>
      </c>
      <c r="M17" s="34">
        <f t="shared" si="3"/>
        <v>50090.52120407411</v>
      </c>
      <c r="N17" s="34">
        <f t="shared" si="3"/>
        <v>60603.904346209973</v>
      </c>
      <c r="O17" s="34">
        <f t="shared" si="3"/>
        <v>27947.562975519992</v>
      </c>
      <c r="P17" s="34">
        <f t="shared" ref="P17:U17" si="4">SUM(P12:P16)</f>
        <v>79129.301459005437</v>
      </c>
      <c r="Q17" s="34">
        <f t="shared" si="4"/>
        <v>74363.372799676916</v>
      </c>
      <c r="R17" s="34">
        <f t="shared" si="4"/>
        <v>52885</v>
      </c>
      <c r="S17" s="34">
        <f t="shared" si="4"/>
        <v>54743</v>
      </c>
      <c r="T17" s="34">
        <f t="shared" si="4"/>
        <v>53444</v>
      </c>
      <c r="U17" s="35">
        <f t="shared" si="4"/>
        <v>62454</v>
      </c>
    </row>
  </sheetData>
  <pageMargins left="0.75" right="0.75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46"/>
  <sheetViews>
    <sheetView workbookViewId="0"/>
  </sheetViews>
  <sheetFormatPr defaultColWidth="8.77734375" defaultRowHeight="13.2" x14ac:dyDescent="0.25"/>
  <cols>
    <col min="1" max="1" width="21.77734375" customWidth="1"/>
    <col min="2" max="2" width="10.6640625" customWidth="1"/>
    <col min="3" max="3" width="11.6640625" bestFit="1" customWidth="1"/>
    <col min="4" max="4" width="11.33203125" bestFit="1" customWidth="1"/>
    <col min="5" max="10" width="11.33203125" customWidth="1"/>
    <col min="11" max="21" width="10.109375" bestFit="1" customWidth="1"/>
  </cols>
  <sheetData>
    <row r="1" spans="1:21" ht="13.8" thickBot="1" x14ac:dyDescent="0.3">
      <c r="A1" s="23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1" x14ac:dyDescent="0.25">
      <c r="A2" s="20" t="s">
        <v>4</v>
      </c>
      <c r="B2" s="27">
        <f>(E2-F2)/F2</f>
        <v>42</v>
      </c>
      <c r="C2" s="50">
        <f>E2-[1]Switzerland!E2</f>
        <v>-448</v>
      </c>
      <c r="D2" s="1">
        <f>F2-[1]Switzerland!F2</f>
        <v>-39</v>
      </c>
      <c r="E2" s="114">
        <v>473</v>
      </c>
      <c r="F2" s="1">
        <v>11</v>
      </c>
      <c r="G2" s="1">
        <v>4</v>
      </c>
      <c r="H2" s="1">
        <v>3</v>
      </c>
      <c r="I2" s="1">
        <f>24+20</f>
        <v>44</v>
      </c>
      <c r="J2" s="1">
        <v>0</v>
      </c>
      <c r="K2" s="1">
        <v>2</v>
      </c>
      <c r="L2" s="1">
        <v>1</v>
      </c>
      <c r="M2" s="1">
        <v>13</v>
      </c>
      <c r="N2" s="1">
        <v>1</v>
      </c>
      <c r="O2" s="1">
        <v>7</v>
      </c>
      <c r="P2" s="1">
        <v>33</v>
      </c>
      <c r="Q2" s="1">
        <v>2</v>
      </c>
      <c r="R2" s="1">
        <v>5</v>
      </c>
      <c r="S2" s="1">
        <v>202</v>
      </c>
      <c r="T2" s="1">
        <v>168</v>
      </c>
      <c r="U2" s="29">
        <v>41</v>
      </c>
    </row>
    <row r="3" spans="1:21" x14ac:dyDescent="0.25">
      <c r="A3" s="20" t="s">
        <v>11</v>
      </c>
      <c r="B3" s="27">
        <f>(E3-F3)/F3</f>
        <v>-4.4009340758038439E-2</v>
      </c>
      <c r="C3" s="50">
        <f>E3-[1]Switzerland!E3</f>
        <v>-1438</v>
      </c>
      <c r="D3" s="1">
        <f>F3-[1]Switzerland!F3</f>
        <v>-915</v>
      </c>
      <c r="E3" s="114">
        <v>5322</v>
      </c>
      <c r="F3" s="1">
        <v>5567</v>
      </c>
      <c r="G3" s="1">
        <v>5791</v>
      </c>
      <c r="H3" s="1">
        <v>5151</v>
      </c>
      <c r="I3" s="1">
        <f>7098+207</f>
        <v>7305</v>
      </c>
      <c r="J3" s="1">
        <f>2222+40</f>
        <v>2262</v>
      </c>
      <c r="K3" s="1">
        <v>5756</v>
      </c>
      <c r="L3" s="1">
        <v>5870</v>
      </c>
      <c r="M3" s="1">
        <v>5712</v>
      </c>
      <c r="N3" s="1">
        <v>6067</v>
      </c>
      <c r="O3" s="1">
        <v>5689</v>
      </c>
      <c r="P3" s="1">
        <v>5980</v>
      </c>
      <c r="Q3" s="1">
        <v>4785</v>
      </c>
      <c r="R3" s="1">
        <v>4974</v>
      </c>
      <c r="S3" s="1">
        <v>3743</v>
      </c>
      <c r="T3" s="1">
        <v>3028</v>
      </c>
      <c r="U3" s="29">
        <v>2322</v>
      </c>
    </row>
    <row r="4" spans="1:21" x14ac:dyDescent="0.25">
      <c r="A4" s="20" t="s">
        <v>5</v>
      </c>
      <c r="B4" s="27"/>
      <c r="C4" s="50">
        <f>E4-[1]Switzerland!E4</f>
        <v>0</v>
      </c>
      <c r="D4" s="1">
        <f>F4-[1]Switzerland!F4</f>
        <v>0</v>
      </c>
      <c r="E4" s="114">
        <v>0</v>
      </c>
      <c r="F4" s="1">
        <v>0</v>
      </c>
      <c r="G4" s="1">
        <v>0</v>
      </c>
      <c r="H4" s="1">
        <v>0</v>
      </c>
      <c r="I4" s="1">
        <f>41</f>
        <v>41</v>
      </c>
      <c r="J4" s="1">
        <v>0</v>
      </c>
      <c r="K4" s="1">
        <v>0</v>
      </c>
      <c r="L4" s="1">
        <v>0</v>
      </c>
      <c r="M4" s="1">
        <v>0</v>
      </c>
      <c r="N4" s="1">
        <v>1</v>
      </c>
      <c r="O4" s="1">
        <v>0</v>
      </c>
      <c r="P4" s="1">
        <v>28</v>
      </c>
      <c r="Q4" s="1">
        <v>0</v>
      </c>
      <c r="R4" s="1">
        <v>0</v>
      </c>
      <c r="S4" s="1">
        <v>0</v>
      </c>
      <c r="T4" s="1">
        <v>0</v>
      </c>
      <c r="U4" s="29">
        <v>0</v>
      </c>
    </row>
    <row r="5" spans="1:21" x14ac:dyDescent="0.25">
      <c r="A5" s="20" t="s">
        <v>2</v>
      </c>
      <c r="B5" s="27"/>
      <c r="C5" s="50">
        <f>E5-[1]Switzerland!E5</f>
        <v>-5</v>
      </c>
      <c r="D5" s="1">
        <f>F5-[1]Switzerland!F5</f>
        <v>0</v>
      </c>
      <c r="E5" s="114">
        <v>0</v>
      </c>
      <c r="F5" s="1">
        <v>0</v>
      </c>
      <c r="G5" s="1">
        <v>0</v>
      </c>
      <c r="H5" s="1">
        <v>0</v>
      </c>
      <c r="I5" s="1">
        <v>2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40</v>
      </c>
      <c r="Q5" s="1">
        <v>0</v>
      </c>
      <c r="R5" s="1">
        <v>0</v>
      </c>
      <c r="S5" s="1">
        <v>0</v>
      </c>
      <c r="T5" s="1">
        <v>1</v>
      </c>
      <c r="U5" s="29">
        <v>0</v>
      </c>
    </row>
    <row r="6" spans="1:21" x14ac:dyDescent="0.25">
      <c r="A6" s="20" t="s">
        <v>9</v>
      </c>
      <c r="B6" s="27">
        <f t="shared" ref="B6:B14" si="0">(E6-F6)/F6</f>
        <v>-0.30762739370334308</v>
      </c>
      <c r="C6" s="50">
        <f>E6-[1]Switzerland!E6</f>
        <v>-2975</v>
      </c>
      <c r="D6" s="1">
        <f>F6-[1]Switzerland!F6</f>
        <v>-2494</v>
      </c>
      <c r="E6" s="114">
        <v>10666</v>
      </c>
      <c r="F6" s="1">
        <v>15405</v>
      </c>
      <c r="G6" s="1">
        <v>15028</v>
      </c>
      <c r="H6" s="1">
        <v>13677</v>
      </c>
      <c r="I6" s="1">
        <f>13542+711</f>
        <v>14253</v>
      </c>
      <c r="J6" s="1">
        <f>6397+93</f>
        <v>6490</v>
      </c>
      <c r="K6" s="1">
        <v>9596</v>
      </c>
      <c r="L6" s="1">
        <v>12332</v>
      </c>
      <c r="M6" s="1">
        <v>10441</v>
      </c>
      <c r="N6" s="1">
        <v>11534</v>
      </c>
      <c r="O6" s="1">
        <v>10135</v>
      </c>
      <c r="P6" s="1">
        <v>13860</v>
      </c>
      <c r="Q6" s="1">
        <v>10943</v>
      </c>
      <c r="R6" s="1">
        <v>12334</v>
      </c>
      <c r="S6" s="1">
        <v>7551</v>
      </c>
      <c r="T6" s="1">
        <v>10287</v>
      </c>
      <c r="U6" s="29">
        <v>7297</v>
      </c>
    </row>
    <row r="7" spans="1:21" x14ac:dyDescent="0.25">
      <c r="A7" s="20" t="s">
        <v>113</v>
      </c>
      <c r="B7" s="27">
        <f t="shared" si="0"/>
        <v>-0.17073170731707318</v>
      </c>
      <c r="C7" s="50">
        <f>E7-[1]Switzerland!E7</f>
        <v>-5</v>
      </c>
      <c r="D7" s="1">
        <f>F7-[1]Switzerland!F7</f>
        <v>-9</v>
      </c>
      <c r="E7" s="114">
        <v>34</v>
      </c>
      <c r="F7" s="1">
        <v>41</v>
      </c>
      <c r="G7" s="1">
        <v>44</v>
      </c>
      <c r="H7" s="1">
        <v>26</v>
      </c>
      <c r="I7" s="1">
        <f>71+40</f>
        <v>111</v>
      </c>
      <c r="J7" s="1">
        <v>22</v>
      </c>
      <c r="K7" s="1">
        <v>80</v>
      </c>
      <c r="L7" s="1">
        <v>110</v>
      </c>
      <c r="M7" s="1">
        <v>48</v>
      </c>
      <c r="N7" s="1">
        <v>124</v>
      </c>
      <c r="O7" s="1">
        <v>125</v>
      </c>
      <c r="P7" s="1">
        <v>107</v>
      </c>
      <c r="Q7" s="1">
        <v>474</v>
      </c>
      <c r="R7" s="1">
        <v>179</v>
      </c>
      <c r="S7" s="1">
        <v>509</v>
      </c>
      <c r="T7" s="1">
        <v>377</v>
      </c>
      <c r="U7" s="29">
        <v>513</v>
      </c>
    </row>
    <row r="8" spans="1:21" x14ac:dyDescent="0.25">
      <c r="A8" s="20" t="s">
        <v>3</v>
      </c>
      <c r="B8" s="27">
        <f t="shared" si="0"/>
        <v>-0.18275203057811754</v>
      </c>
      <c r="C8" s="50">
        <f>E8-[1]Switzerland!E8</f>
        <v>-1140</v>
      </c>
      <c r="D8" s="1">
        <f>F8-[1]Switzerland!F8</f>
        <v>-1382</v>
      </c>
      <c r="E8" s="114">
        <v>6842</v>
      </c>
      <c r="F8" s="1">
        <v>8372</v>
      </c>
      <c r="G8" s="1">
        <v>7802</v>
      </c>
      <c r="H8" s="1">
        <v>8815</v>
      </c>
      <c r="I8" s="1">
        <f>7789+116</f>
        <v>7905</v>
      </c>
      <c r="J8" s="1">
        <v>7377</v>
      </c>
      <c r="K8" s="76">
        <v>11211</v>
      </c>
      <c r="L8" s="76">
        <v>9073</v>
      </c>
      <c r="M8" s="76">
        <v>10219</v>
      </c>
      <c r="N8" s="76">
        <v>8766</v>
      </c>
      <c r="O8" s="76">
        <v>11844</v>
      </c>
      <c r="P8" s="76">
        <v>11330</v>
      </c>
      <c r="Q8" s="76">
        <v>13317</v>
      </c>
      <c r="R8" s="76">
        <v>14304</v>
      </c>
      <c r="S8" s="76">
        <v>14703</v>
      </c>
      <c r="T8" s="1">
        <v>15022</v>
      </c>
      <c r="U8" s="29">
        <v>15607</v>
      </c>
    </row>
    <row r="9" spans="1:21" x14ac:dyDescent="0.25">
      <c r="A9" s="20" t="s">
        <v>17</v>
      </c>
      <c r="B9" s="27">
        <f t="shared" si="0"/>
        <v>-0.54317548746518107</v>
      </c>
      <c r="C9" s="50">
        <f>E9-[1]Switzerland!E9</f>
        <v>-64</v>
      </c>
      <c r="D9" s="1">
        <f>F9-[1]Switzerland!F9</f>
        <v>-70</v>
      </c>
      <c r="E9" s="114">
        <v>164</v>
      </c>
      <c r="F9" s="1">
        <v>359</v>
      </c>
      <c r="G9" s="1">
        <v>109</v>
      </c>
      <c r="H9" s="1">
        <v>127</v>
      </c>
      <c r="I9" s="1">
        <f>147</f>
        <v>147</v>
      </c>
      <c r="J9" s="1">
        <v>122</v>
      </c>
      <c r="K9" s="76">
        <v>133</v>
      </c>
      <c r="L9" s="76">
        <v>63</v>
      </c>
      <c r="M9" s="76">
        <v>139</v>
      </c>
      <c r="N9" s="76">
        <v>67</v>
      </c>
      <c r="O9" s="76">
        <v>91</v>
      </c>
      <c r="P9" s="76">
        <v>31</v>
      </c>
      <c r="Q9" s="76">
        <v>139</v>
      </c>
      <c r="R9" s="76">
        <v>17</v>
      </c>
      <c r="S9" s="76">
        <v>136</v>
      </c>
      <c r="T9" s="1">
        <v>6</v>
      </c>
      <c r="U9" s="29">
        <v>1</v>
      </c>
    </row>
    <row r="10" spans="1:21" x14ac:dyDescent="0.25">
      <c r="A10" s="20" t="s">
        <v>10</v>
      </c>
      <c r="B10" s="27">
        <f t="shared" si="0"/>
        <v>5.647840531561462E-2</v>
      </c>
      <c r="C10" s="50">
        <f>E10-[1]Switzerland!E10</f>
        <v>-30</v>
      </c>
      <c r="D10" s="1">
        <f>F10-[1]Switzerland!F10</f>
        <v>-72</v>
      </c>
      <c r="E10" s="114">
        <v>318</v>
      </c>
      <c r="F10" s="1">
        <v>301</v>
      </c>
      <c r="G10" s="1">
        <v>409</v>
      </c>
      <c r="H10" s="1">
        <v>198</v>
      </c>
      <c r="I10" s="1">
        <f>232+110</f>
        <v>342</v>
      </c>
      <c r="J10" s="1">
        <v>34</v>
      </c>
      <c r="K10" s="76">
        <v>389</v>
      </c>
      <c r="L10" s="76">
        <v>842</v>
      </c>
      <c r="M10" s="76">
        <v>875</v>
      </c>
      <c r="N10" s="76">
        <v>1416</v>
      </c>
      <c r="O10" s="76">
        <v>1357</v>
      </c>
      <c r="P10" s="76">
        <v>771</v>
      </c>
      <c r="Q10" s="76">
        <v>2476</v>
      </c>
      <c r="R10" s="76">
        <v>1759</v>
      </c>
      <c r="S10" s="76">
        <v>2630</v>
      </c>
      <c r="T10" s="1">
        <v>1459</v>
      </c>
      <c r="U10" s="29">
        <v>2885</v>
      </c>
    </row>
    <row r="11" spans="1:21" x14ac:dyDescent="0.25">
      <c r="A11" s="20" t="s">
        <v>27</v>
      </c>
      <c r="B11" s="27">
        <f t="shared" si="0"/>
        <v>0.17221828490432317</v>
      </c>
      <c r="C11" s="50">
        <f>E11-[1]Switzerland!E11</f>
        <v>-167</v>
      </c>
      <c r="D11" s="1">
        <f>F11-[1]Switzerland!F11</f>
        <v>-219</v>
      </c>
      <c r="E11" s="114">
        <v>1654</v>
      </c>
      <c r="F11" s="1">
        <v>1411</v>
      </c>
      <c r="G11" s="1">
        <v>955</v>
      </c>
      <c r="H11" s="1">
        <v>1838</v>
      </c>
      <c r="I11" s="1">
        <f>1619+110</f>
        <v>1729</v>
      </c>
      <c r="J11" s="1">
        <v>68</v>
      </c>
      <c r="K11" s="76">
        <v>2495</v>
      </c>
      <c r="L11" s="76">
        <v>1891</v>
      </c>
      <c r="M11" s="76">
        <v>2300</v>
      </c>
      <c r="N11" s="76">
        <v>2377</v>
      </c>
      <c r="O11" s="76">
        <v>2361</v>
      </c>
      <c r="P11" s="76">
        <v>2876</v>
      </c>
      <c r="Q11" s="76">
        <v>2138</v>
      </c>
      <c r="R11" s="76">
        <v>2748</v>
      </c>
      <c r="S11" s="76">
        <v>2957</v>
      </c>
      <c r="T11" s="1">
        <v>2810</v>
      </c>
      <c r="U11" s="29">
        <v>3145</v>
      </c>
    </row>
    <row r="12" spans="1:21" x14ac:dyDescent="0.25">
      <c r="A12" s="20" t="s">
        <v>114</v>
      </c>
      <c r="B12" s="27">
        <f t="shared" si="0"/>
        <v>1.7272727272727273</v>
      </c>
      <c r="C12" s="50">
        <f>E12-[1]Switzerland!E12</f>
        <v>-29</v>
      </c>
      <c r="D12" s="1">
        <f>F12-[1]Switzerland!F12</f>
        <v>-41</v>
      </c>
      <c r="E12" s="114">
        <v>30</v>
      </c>
      <c r="F12" s="1">
        <v>11</v>
      </c>
      <c r="G12" s="1">
        <v>105</v>
      </c>
      <c r="H12" s="1">
        <v>0</v>
      </c>
      <c r="I12" s="1">
        <f>209</f>
        <v>209</v>
      </c>
      <c r="J12" s="1">
        <v>0</v>
      </c>
      <c r="K12" s="76">
        <v>104</v>
      </c>
      <c r="L12" s="76">
        <v>72</v>
      </c>
      <c r="M12" s="76">
        <v>132</v>
      </c>
      <c r="N12" s="76">
        <v>153</v>
      </c>
      <c r="O12" s="76">
        <v>53</v>
      </c>
      <c r="P12" s="76">
        <v>70</v>
      </c>
      <c r="Q12" s="76">
        <v>100</v>
      </c>
      <c r="R12" s="76">
        <v>0</v>
      </c>
      <c r="S12" s="76">
        <v>71</v>
      </c>
      <c r="T12" s="1">
        <v>42</v>
      </c>
      <c r="U12" s="29">
        <v>123</v>
      </c>
    </row>
    <row r="13" spans="1:21" x14ac:dyDescent="0.25">
      <c r="A13" s="20" t="s">
        <v>115</v>
      </c>
      <c r="B13" s="27">
        <f t="shared" si="0"/>
        <v>-0.12676056338028169</v>
      </c>
      <c r="C13" s="50">
        <f>E13-[1]Switzerland!E13</f>
        <v>0</v>
      </c>
      <c r="D13" s="1">
        <f>F13-[1]Switzerland!F13</f>
        <v>-5</v>
      </c>
      <c r="E13" s="114">
        <v>62</v>
      </c>
      <c r="F13" s="1">
        <v>71</v>
      </c>
      <c r="G13" s="1">
        <v>139</v>
      </c>
      <c r="H13" s="1">
        <v>27</v>
      </c>
      <c r="I13" s="1">
        <f>76+291</f>
        <v>367</v>
      </c>
      <c r="J13" s="1">
        <v>116</v>
      </c>
      <c r="K13" s="76">
        <v>189</v>
      </c>
      <c r="L13" s="76">
        <v>422</v>
      </c>
      <c r="M13" s="76">
        <v>641</v>
      </c>
      <c r="N13" s="76">
        <v>706</v>
      </c>
      <c r="O13" s="76">
        <v>1391</v>
      </c>
      <c r="P13" s="76">
        <v>1761</v>
      </c>
      <c r="Q13" s="76">
        <v>3411</v>
      </c>
      <c r="R13" s="76">
        <v>3810</v>
      </c>
      <c r="S13" s="76">
        <v>3733</v>
      </c>
      <c r="T13" s="1">
        <v>4900</v>
      </c>
      <c r="U13" s="29">
        <v>6109</v>
      </c>
    </row>
    <row r="14" spans="1:21" x14ac:dyDescent="0.25">
      <c r="A14" s="20" t="s">
        <v>13</v>
      </c>
      <c r="B14" s="27">
        <f t="shared" si="0"/>
        <v>-0.38113207547169814</v>
      </c>
      <c r="C14" s="50">
        <f>E14-[1]Switzerland!E14</f>
        <v>-154</v>
      </c>
      <c r="D14" s="1">
        <f>F14-[1]Switzerland!F14</f>
        <v>-61</v>
      </c>
      <c r="E14" s="114">
        <v>164</v>
      </c>
      <c r="F14" s="1">
        <v>265</v>
      </c>
      <c r="G14" s="1">
        <v>402</v>
      </c>
      <c r="H14" s="1">
        <v>28</v>
      </c>
      <c r="I14" s="1">
        <f>122+29</f>
        <v>151</v>
      </c>
      <c r="J14" s="1">
        <v>7</v>
      </c>
      <c r="K14" s="76">
        <v>174</v>
      </c>
      <c r="L14" s="76">
        <v>209</v>
      </c>
      <c r="M14" s="76">
        <v>74</v>
      </c>
      <c r="N14" s="76">
        <v>423</v>
      </c>
      <c r="O14" s="76">
        <v>524</v>
      </c>
      <c r="P14" s="76">
        <v>730</v>
      </c>
      <c r="Q14" s="76">
        <v>693</v>
      </c>
      <c r="R14" s="76">
        <v>751</v>
      </c>
      <c r="S14" s="76">
        <v>686</v>
      </c>
      <c r="T14" s="1">
        <v>653</v>
      </c>
      <c r="U14" s="29">
        <v>588</v>
      </c>
    </row>
    <row r="15" spans="1:21" x14ac:dyDescent="0.25">
      <c r="A15" s="20" t="s">
        <v>116</v>
      </c>
      <c r="B15" s="27"/>
      <c r="C15" s="50">
        <f>E15-[1]Switzerland!E15</f>
        <v>-3</v>
      </c>
      <c r="D15" s="1">
        <f>F15-[1]Switzerland!F15</f>
        <v>0</v>
      </c>
      <c r="E15" s="114">
        <v>4</v>
      </c>
      <c r="F15" s="1">
        <v>0</v>
      </c>
      <c r="G15" s="1">
        <v>23</v>
      </c>
      <c r="H15" s="1">
        <v>0</v>
      </c>
      <c r="I15" s="1">
        <v>22</v>
      </c>
      <c r="J15" s="1">
        <v>0</v>
      </c>
      <c r="K15" s="76">
        <v>0</v>
      </c>
      <c r="L15" s="76">
        <v>0</v>
      </c>
      <c r="M15" s="76">
        <v>0</v>
      </c>
      <c r="N15" s="76">
        <v>4</v>
      </c>
      <c r="O15" s="76">
        <v>1</v>
      </c>
      <c r="P15" s="76">
        <v>4</v>
      </c>
      <c r="Q15" s="76">
        <v>0</v>
      </c>
      <c r="R15" s="76">
        <v>0</v>
      </c>
      <c r="S15" s="76">
        <v>1</v>
      </c>
      <c r="T15" s="1">
        <v>0</v>
      </c>
      <c r="U15" s="29">
        <v>0</v>
      </c>
    </row>
    <row r="16" spans="1:21" x14ac:dyDescent="0.25">
      <c r="A16" s="20" t="s">
        <v>96</v>
      </c>
      <c r="B16" s="27">
        <f>(E16-F16)/F16</f>
        <v>1.523076923076923</v>
      </c>
      <c r="C16" s="50">
        <f>E16-[1]Switzerland!E16</f>
        <v>-192</v>
      </c>
      <c r="D16" s="1">
        <f>F16-[1]Switzerland!F16</f>
        <v>-113</v>
      </c>
      <c r="E16" s="114">
        <v>492</v>
      </c>
      <c r="F16" s="1">
        <v>195</v>
      </c>
      <c r="G16" s="1">
        <v>156</v>
      </c>
      <c r="H16" s="1">
        <v>22</v>
      </c>
      <c r="I16" s="1">
        <f>153+341</f>
        <v>494</v>
      </c>
      <c r="J16" s="1">
        <v>34</v>
      </c>
      <c r="K16" s="76">
        <v>210</v>
      </c>
      <c r="L16" s="76">
        <v>468</v>
      </c>
      <c r="M16" s="76">
        <v>443</v>
      </c>
      <c r="N16" s="76">
        <v>823</v>
      </c>
      <c r="O16" s="76">
        <v>704</v>
      </c>
      <c r="P16" s="76">
        <v>1094</v>
      </c>
      <c r="Q16" s="76">
        <v>821</v>
      </c>
      <c r="R16" s="76">
        <v>905</v>
      </c>
      <c r="S16" s="76">
        <v>466</v>
      </c>
      <c r="T16" s="1">
        <v>789</v>
      </c>
      <c r="U16" s="29">
        <v>550</v>
      </c>
    </row>
    <row r="17" spans="1:21" x14ac:dyDescent="0.25">
      <c r="A17" s="40" t="s">
        <v>87</v>
      </c>
      <c r="B17" s="27">
        <f>(E17-F17)/F17</f>
        <v>-4.8584962953965749E-2</v>
      </c>
      <c r="C17" s="50">
        <f>E17-[1]Switzerland!E17</f>
        <v>-1827</v>
      </c>
      <c r="D17" s="1">
        <f>F17-[1]Switzerland!F17</f>
        <v>-1825</v>
      </c>
      <c r="E17" s="114">
        <v>7833</v>
      </c>
      <c r="F17" s="1">
        <v>8233</v>
      </c>
      <c r="G17" s="1">
        <v>7383</v>
      </c>
      <c r="H17" s="1">
        <v>6450</v>
      </c>
      <c r="I17" s="1">
        <f>9251+172</f>
        <v>9423</v>
      </c>
      <c r="J17" s="1">
        <f>4367+69</f>
        <v>4436</v>
      </c>
      <c r="K17" s="76">
        <v>7451</v>
      </c>
      <c r="L17" s="76">
        <v>7596</v>
      </c>
      <c r="M17" s="76">
        <v>8761</v>
      </c>
      <c r="N17" s="76">
        <v>7243</v>
      </c>
      <c r="O17" s="76">
        <v>4571</v>
      </c>
      <c r="P17" s="76">
        <v>5062</v>
      </c>
      <c r="Q17" s="76">
        <v>2580</v>
      </c>
      <c r="R17" s="76">
        <f>244+274+1967</f>
        <v>2485</v>
      </c>
      <c r="S17" s="76">
        <v>999</v>
      </c>
      <c r="T17" s="1">
        <v>677</v>
      </c>
      <c r="U17" s="29">
        <v>307</v>
      </c>
    </row>
    <row r="18" spans="1:21" ht="13.8" thickBot="1" x14ac:dyDescent="0.3">
      <c r="A18" s="22" t="s">
        <v>59</v>
      </c>
      <c r="B18" s="27">
        <f>(E18-F18)/F18</f>
        <v>0.26248904469763368</v>
      </c>
      <c r="C18" s="51">
        <f>E18-[1]Switzerland!E18</f>
        <v>-495</v>
      </c>
      <c r="D18" s="10">
        <f>F18-[1]Switzerland!F18</f>
        <v>-245</v>
      </c>
      <c r="E18" s="116">
        <v>2881</v>
      </c>
      <c r="F18" s="10">
        <v>2282</v>
      </c>
      <c r="G18" s="10">
        <v>2874</v>
      </c>
      <c r="H18" s="10">
        <v>1835</v>
      </c>
      <c r="I18" s="10">
        <f>182+558+2255+45+446+38</f>
        <v>3524</v>
      </c>
      <c r="J18" s="10">
        <f>101+323+143+263</f>
        <v>830</v>
      </c>
      <c r="K18" s="77">
        <v>2585</v>
      </c>
      <c r="L18" s="77">
        <v>878</v>
      </c>
      <c r="M18" s="77">
        <v>606</v>
      </c>
      <c r="N18" s="77">
        <v>705</v>
      </c>
      <c r="O18" s="77">
        <v>439</v>
      </c>
      <c r="P18" s="77">
        <v>490</v>
      </c>
      <c r="Q18" s="77">
        <v>353</v>
      </c>
      <c r="R18" s="77">
        <v>539</v>
      </c>
      <c r="S18" s="77">
        <v>480</v>
      </c>
      <c r="T18" s="10">
        <v>468</v>
      </c>
      <c r="U18" s="31">
        <v>511</v>
      </c>
    </row>
    <row r="19" spans="1:21" ht="13.8" thickBot="1" x14ac:dyDescent="0.3">
      <c r="A19" s="32" t="s">
        <v>23</v>
      </c>
      <c r="B19" s="143">
        <f>(E19-F19)/F19</f>
        <v>-0.13133759759194807</v>
      </c>
      <c r="C19" s="70">
        <f>E19-[1]Switzerland!E19</f>
        <v>-8972</v>
      </c>
      <c r="D19" s="34">
        <f>F19-[1]Switzerland!F19</f>
        <v>-7490</v>
      </c>
      <c r="E19" s="117">
        <f>SUM(E2:E18)</f>
        <v>36939</v>
      </c>
      <c r="F19" s="34">
        <f>SUM(F2:F18)</f>
        <v>42524</v>
      </c>
      <c r="G19" s="34">
        <f>SUM(G2:G18)</f>
        <v>41224</v>
      </c>
      <c r="H19" s="34">
        <f>SUM(H2:H18)</f>
        <v>38197</v>
      </c>
      <c r="I19" s="34">
        <f>SUM(I2:I18)</f>
        <v>46069</v>
      </c>
      <c r="J19" s="34">
        <f t="shared" ref="J19:O19" si="1">SUM(J2:J18)</f>
        <v>21798</v>
      </c>
      <c r="K19" s="34">
        <f t="shared" si="1"/>
        <v>40375</v>
      </c>
      <c r="L19" s="34">
        <f t="shared" si="1"/>
        <v>39827</v>
      </c>
      <c r="M19" s="34">
        <f t="shared" si="1"/>
        <v>40404</v>
      </c>
      <c r="N19" s="34">
        <f t="shared" si="1"/>
        <v>40410</v>
      </c>
      <c r="O19" s="34">
        <f t="shared" si="1"/>
        <v>39292</v>
      </c>
      <c r="P19" s="34">
        <f t="shared" ref="P19:U19" si="2">SUM(P2:P18)</f>
        <v>44267</v>
      </c>
      <c r="Q19" s="34">
        <f t="shared" si="2"/>
        <v>42232</v>
      </c>
      <c r="R19" s="34">
        <f t="shared" si="2"/>
        <v>44810</v>
      </c>
      <c r="S19" s="34">
        <f t="shared" si="2"/>
        <v>38867</v>
      </c>
      <c r="T19" s="34">
        <f t="shared" si="2"/>
        <v>40687</v>
      </c>
      <c r="U19" s="35">
        <f t="shared" si="2"/>
        <v>39999</v>
      </c>
    </row>
    <row r="20" spans="1:21" x14ac:dyDescent="0.25">
      <c r="B20" s="36"/>
      <c r="C20" s="36"/>
      <c r="D20" s="36"/>
      <c r="E20" s="36"/>
      <c r="F20" s="36"/>
      <c r="G20" s="36"/>
      <c r="H20" s="36"/>
      <c r="I20" s="36"/>
      <c r="J20" s="36"/>
    </row>
    <row r="21" spans="1:21" ht="13.8" thickBot="1" x14ac:dyDescent="0.3">
      <c r="B21" s="36"/>
      <c r="C21" s="36"/>
      <c r="D21" s="36"/>
      <c r="E21" s="36"/>
      <c r="F21" s="36"/>
      <c r="G21" s="36"/>
      <c r="H21" s="36"/>
      <c r="I21" s="36"/>
      <c r="J21" s="36"/>
    </row>
    <row r="22" spans="1:21" ht="13.8" thickBot="1" x14ac:dyDescent="0.3">
      <c r="A22" s="23" t="s">
        <v>25</v>
      </c>
      <c r="B22" s="24" t="s">
        <v>176</v>
      </c>
      <c r="C22" s="49" t="s">
        <v>177</v>
      </c>
      <c r="D22" s="25" t="s">
        <v>173</v>
      </c>
      <c r="E22" s="115">
        <v>44986</v>
      </c>
      <c r="F22" s="25">
        <v>44621</v>
      </c>
      <c r="G22" s="25">
        <v>44256</v>
      </c>
      <c r="H22" s="25">
        <v>43891</v>
      </c>
      <c r="I22" s="25">
        <v>43525</v>
      </c>
      <c r="J22" s="25">
        <v>43160</v>
      </c>
      <c r="K22" s="25">
        <v>42795</v>
      </c>
      <c r="L22" s="25">
        <v>42430</v>
      </c>
      <c r="M22" s="25">
        <f>M1</f>
        <v>42064</v>
      </c>
      <c r="N22" s="25">
        <v>41699</v>
      </c>
      <c r="O22" s="25">
        <v>41334</v>
      </c>
      <c r="P22" s="25">
        <v>40969</v>
      </c>
      <c r="Q22" s="25">
        <v>40603</v>
      </c>
      <c r="R22" s="25">
        <v>40238</v>
      </c>
      <c r="S22" s="25">
        <v>39873</v>
      </c>
      <c r="T22" s="25">
        <v>39508</v>
      </c>
      <c r="U22" s="26">
        <v>39142</v>
      </c>
    </row>
    <row r="23" spans="1:21" x14ac:dyDescent="0.25">
      <c r="A23" s="20" t="s">
        <v>117</v>
      </c>
      <c r="B23" s="27">
        <f>(E23-F23)/F23</f>
        <v>-0.237551867219917</v>
      </c>
      <c r="C23" s="50">
        <f>E23-[1]Switzerland!E23</f>
        <v>-1300</v>
      </c>
      <c r="D23" s="1">
        <f>F23-[1]Switzerland!F23</f>
        <v>-1043</v>
      </c>
      <c r="E23" s="114">
        <v>1470</v>
      </c>
      <c r="F23" s="1">
        <v>1928</v>
      </c>
      <c r="G23" s="1">
        <v>2894</v>
      </c>
      <c r="H23" s="1">
        <v>3532</v>
      </c>
      <c r="I23" s="1">
        <f>3389+45</f>
        <v>3434</v>
      </c>
      <c r="J23" s="1">
        <v>2</v>
      </c>
      <c r="K23" s="1">
        <v>1066</v>
      </c>
      <c r="L23" s="1">
        <v>1187</v>
      </c>
      <c r="M23" s="1">
        <v>2502</v>
      </c>
      <c r="N23" s="1">
        <v>1871</v>
      </c>
      <c r="O23" s="1">
        <v>497</v>
      </c>
      <c r="P23" s="1">
        <v>2280</v>
      </c>
      <c r="Q23" s="1">
        <v>538</v>
      </c>
      <c r="R23" s="1">
        <v>1833</v>
      </c>
      <c r="S23" s="1">
        <v>62</v>
      </c>
      <c r="T23" s="1">
        <v>1492</v>
      </c>
      <c r="U23" s="29">
        <v>635</v>
      </c>
    </row>
    <row r="24" spans="1:21" x14ac:dyDescent="0.25">
      <c r="A24" s="20" t="s">
        <v>7</v>
      </c>
      <c r="B24" s="27">
        <f>(E24-F24)/F24</f>
        <v>12</v>
      </c>
      <c r="C24" s="50">
        <f>E24-[1]Switzerland!E24</f>
        <v>-370</v>
      </c>
      <c r="D24" s="1">
        <f>F24-[1]Switzerland!F24</f>
        <v>-48</v>
      </c>
      <c r="E24" s="114">
        <v>13</v>
      </c>
      <c r="F24" s="1">
        <v>1</v>
      </c>
      <c r="G24" s="1">
        <v>227</v>
      </c>
      <c r="H24" s="1">
        <v>522</v>
      </c>
      <c r="I24" s="1">
        <v>163</v>
      </c>
      <c r="J24" s="1">
        <v>0</v>
      </c>
      <c r="K24" s="1">
        <v>466</v>
      </c>
      <c r="L24" s="1">
        <v>114</v>
      </c>
      <c r="M24" s="1">
        <v>417</v>
      </c>
      <c r="N24" s="1">
        <v>90</v>
      </c>
      <c r="O24" s="1">
        <v>3</v>
      </c>
      <c r="P24" s="1">
        <v>1621</v>
      </c>
      <c r="Q24" s="1">
        <v>18</v>
      </c>
      <c r="R24" s="1">
        <v>1060</v>
      </c>
      <c r="S24" s="1">
        <v>0</v>
      </c>
      <c r="T24" s="1">
        <v>1454</v>
      </c>
      <c r="U24" s="29">
        <v>67</v>
      </c>
    </row>
    <row r="25" spans="1:21" x14ac:dyDescent="0.25">
      <c r="A25" s="20" t="s">
        <v>118</v>
      </c>
      <c r="B25" s="27"/>
      <c r="C25" s="50">
        <f>E25-[1]Switzerland!E25</f>
        <v>-283</v>
      </c>
      <c r="D25" s="1">
        <f>F25-[1]Switzerland!F25</f>
        <v>-186</v>
      </c>
      <c r="E25" s="114">
        <v>134</v>
      </c>
      <c r="F25" s="1">
        <v>0</v>
      </c>
      <c r="G25" s="1">
        <v>361</v>
      </c>
      <c r="H25" s="1">
        <v>127</v>
      </c>
      <c r="I25" s="1">
        <f>257+39</f>
        <v>296</v>
      </c>
      <c r="J25" s="1">
        <v>0</v>
      </c>
      <c r="K25" s="1">
        <v>442</v>
      </c>
      <c r="L25" s="1">
        <v>513</v>
      </c>
      <c r="M25" s="1">
        <v>471</v>
      </c>
      <c r="N25" s="1">
        <v>492</v>
      </c>
      <c r="O25" s="1">
        <v>77</v>
      </c>
      <c r="P25" s="1">
        <v>1355</v>
      </c>
      <c r="Q25" s="1">
        <v>5</v>
      </c>
      <c r="R25" s="1">
        <v>1375</v>
      </c>
      <c r="S25" s="1">
        <v>0</v>
      </c>
      <c r="T25" s="1">
        <v>1583</v>
      </c>
      <c r="U25" s="29">
        <v>24</v>
      </c>
    </row>
    <row r="26" spans="1:21" x14ac:dyDescent="0.25">
      <c r="A26" s="40" t="s">
        <v>164</v>
      </c>
      <c r="B26" s="27"/>
      <c r="C26" s="50">
        <f>E26-[1]Switzerland!E26</f>
        <v>0</v>
      </c>
      <c r="D26" s="1">
        <f>F26-[1]Switzerland!F26</f>
        <v>0</v>
      </c>
      <c r="E26" s="114">
        <v>0</v>
      </c>
      <c r="F26" s="1">
        <v>0</v>
      </c>
      <c r="G26" s="1">
        <v>0</v>
      </c>
      <c r="H26" s="1">
        <v>25</v>
      </c>
      <c r="I26" s="1">
        <v>0</v>
      </c>
      <c r="J26" s="1">
        <v>0</v>
      </c>
      <c r="K26" s="1">
        <v>0</v>
      </c>
      <c r="L26" s="1"/>
      <c r="M26" s="1"/>
      <c r="N26" s="1"/>
      <c r="O26" s="1"/>
      <c r="P26" s="1"/>
      <c r="Q26" s="1"/>
      <c r="R26" s="1"/>
      <c r="S26" s="1"/>
      <c r="T26" s="1"/>
      <c r="U26" s="29"/>
    </row>
    <row r="27" spans="1:21" ht="13.8" thickBot="1" x14ac:dyDescent="0.3">
      <c r="A27" s="30" t="s">
        <v>59</v>
      </c>
      <c r="B27" s="27">
        <f>(E27-F27)/F27</f>
        <v>2.0652173913043477</v>
      </c>
      <c r="C27" s="51">
        <f>E27-[1]Switzerland!E27</f>
        <v>-244</v>
      </c>
      <c r="D27" s="10">
        <f>F27-[1]Switzerland!F27</f>
        <v>-148</v>
      </c>
      <c r="E27" s="116">
        <v>141</v>
      </c>
      <c r="F27" s="10">
        <v>46</v>
      </c>
      <c r="G27" s="10">
        <v>131</v>
      </c>
      <c r="H27" s="10">
        <v>105</v>
      </c>
      <c r="I27" s="10">
        <f>184+42</f>
        <v>226</v>
      </c>
      <c r="J27" s="10">
        <v>5</v>
      </c>
      <c r="K27" s="10">
        <v>59</v>
      </c>
      <c r="L27" s="10">
        <v>51</v>
      </c>
      <c r="M27" s="10">
        <v>204</v>
      </c>
      <c r="N27" s="10">
        <v>39</v>
      </c>
      <c r="O27" s="10">
        <v>15</v>
      </c>
      <c r="P27" s="10">
        <v>151</v>
      </c>
      <c r="Q27" s="10">
        <v>23</v>
      </c>
      <c r="R27" s="10">
        <v>133</v>
      </c>
      <c r="S27" s="10">
        <v>0</v>
      </c>
      <c r="T27" s="10">
        <v>162</v>
      </c>
      <c r="U27" s="31">
        <v>42</v>
      </c>
    </row>
    <row r="28" spans="1:21" ht="13.8" thickBot="1" x14ac:dyDescent="0.3">
      <c r="A28" s="32" t="s">
        <v>23</v>
      </c>
      <c r="B28" s="142">
        <f>(E28-F28)/F28</f>
        <v>-0.10987341772151898</v>
      </c>
      <c r="C28" s="70">
        <f>E28-[1]Switzerland!E28</f>
        <v>-2197</v>
      </c>
      <c r="D28" s="34">
        <f>F28-[1]Switzerland!F28</f>
        <v>-1425</v>
      </c>
      <c r="E28" s="117">
        <f>SUM(E23:E27)</f>
        <v>1758</v>
      </c>
      <c r="F28" s="34">
        <f>SUM(F23:F27)</f>
        <v>1975</v>
      </c>
      <c r="G28" s="34">
        <f>SUM(G23:G27)</f>
        <v>3613</v>
      </c>
      <c r="H28" s="34">
        <f>SUM(H23:H27)</f>
        <v>4311</v>
      </c>
      <c r="I28" s="34">
        <f>SUM(I23:I27)</f>
        <v>4119</v>
      </c>
      <c r="J28" s="34">
        <v>7</v>
      </c>
      <c r="K28" s="34">
        <f>SUM(K23:K27)</f>
        <v>2033</v>
      </c>
      <c r="L28" s="34">
        <f>SUM(L23:L27)</f>
        <v>1865</v>
      </c>
      <c r="M28" s="34">
        <f>SUM(M23:M27)</f>
        <v>3594</v>
      </c>
      <c r="N28" s="34">
        <f>SUM(N23:N27)</f>
        <v>2492</v>
      </c>
      <c r="O28" s="34">
        <f>SUM(O23:O27)</f>
        <v>592</v>
      </c>
      <c r="P28" s="34">
        <f t="shared" ref="P28:U28" si="3">SUM(P23:P27)</f>
        <v>5407</v>
      </c>
      <c r="Q28" s="34">
        <f t="shared" si="3"/>
        <v>584</v>
      </c>
      <c r="R28" s="34">
        <f t="shared" si="3"/>
        <v>4401</v>
      </c>
      <c r="S28" s="34">
        <f t="shared" si="3"/>
        <v>62</v>
      </c>
      <c r="T28" s="34">
        <f t="shared" si="3"/>
        <v>4691</v>
      </c>
      <c r="U28" s="35">
        <f t="shared" si="3"/>
        <v>768</v>
      </c>
    </row>
    <row r="35" spans="20:22" ht="17.399999999999999" x14ac:dyDescent="0.3">
      <c r="T35" s="5"/>
      <c r="U35" s="1"/>
      <c r="V35" s="1"/>
    </row>
    <row r="36" spans="20:22" ht="17.399999999999999" x14ac:dyDescent="0.3">
      <c r="T36" s="5"/>
      <c r="U36" s="1"/>
      <c r="V36" s="1"/>
    </row>
    <row r="37" spans="20:22" ht="17.399999999999999" x14ac:dyDescent="0.3">
      <c r="T37" s="5"/>
      <c r="U37" s="1"/>
      <c r="V37" s="1"/>
    </row>
    <row r="38" spans="20:22" ht="17.399999999999999" x14ac:dyDescent="0.3">
      <c r="T38" s="5"/>
      <c r="U38" s="1"/>
      <c r="V38" s="1"/>
    </row>
    <row r="39" spans="20:22" ht="17.399999999999999" x14ac:dyDescent="0.3">
      <c r="T39" s="5"/>
      <c r="U39" s="1"/>
      <c r="V39" s="1"/>
    </row>
    <row r="40" spans="20:22" ht="17.399999999999999" x14ac:dyDescent="0.3">
      <c r="T40" s="5"/>
      <c r="U40" s="1"/>
      <c r="V40" s="1"/>
    </row>
    <row r="41" spans="20:22" ht="17.399999999999999" x14ac:dyDescent="0.3">
      <c r="T41" s="5"/>
      <c r="U41" s="1"/>
      <c r="V41" s="1"/>
    </row>
    <row r="42" spans="20:22" ht="17.399999999999999" x14ac:dyDescent="0.3">
      <c r="T42" s="5"/>
      <c r="U42" s="1"/>
      <c r="V42" s="1"/>
    </row>
    <row r="43" spans="20:22" ht="17.399999999999999" x14ac:dyDescent="0.3">
      <c r="T43" s="5"/>
      <c r="U43" s="1"/>
      <c r="V43" s="1"/>
    </row>
    <row r="44" spans="20:22" ht="17.399999999999999" x14ac:dyDescent="0.3">
      <c r="T44" s="5"/>
      <c r="U44" s="1"/>
      <c r="V44" s="1"/>
    </row>
    <row r="45" spans="20:22" ht="17.399999999999999" x14ac:dyDescent="0.3">
      <c r="T45" s="6"/>
      <c r="U45" s="1"/>
      <c r="V45" s="1"/>
    </row>
    <row r="46" spans="20:22" ht="18" x14ac:dyDescent="0.35">
      <c r="T46" s="7"/>
      <c r="U46" s="2"/>
      <c r="V46" s="2"/>
    </row>
  </sheetData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39"/>
  <sheetViews>
    <sheetView workbookViewId="0"/>
  </sheetViews>
  <sheetFormatPr defaultColWidth="8.77734375" defaultRowHeight="13.2" x14ac:dyDescent="0.25"/>
  <cols>
    <col min="1" max="1" width="23.77734375" customWidth="1"/>
    <col min="2" max="2" width="10.6640625" customWidth="1"/>
    <col min="3" max="3" width="11.6640625" bestFit="1" customWidth="1"/>
    <col min="4" max="4" width="11.33203125" bestFit="1" customWidth="1"/>
    <col min="5" max="10" width="11.33203125" customWidth="1"/>
    <col min="11" max="21" width="10.109375" bestFit="1" customWidth="1"/>
    <col min="22" max="22" width="8.77734375" customWidth="1"/>
    <col min="23" max="23" width="11" customWidth="1"/>
  </cols>
  <sheetData>
    <row r="1" spans="1:21" ht="13.8" thickBot="1" x14ac:dyDescent="0.3">
      <c r="A1" s="23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1" x14ac:dyDescent="0.25">
      <c r="A2" s="20" t="s">
        <v>4</v>
      </c>
      <c r="B2" s="47">
        <f t="shared" ref="B2:B8" si="0">(E2-F2)/F2</f>
        <v>-0.40007320644216693</v>
      </c>
      <c r="C2" s="50">
        <f>E2-[1]Netherlands!E2</f>
        <v>-849</v>
      </c>
      <c r="D2" s="1">
        <f>F2-[1]Netherlands!F2</f>
        <v>-1180</v>
      </c>
      <c r="E2" s="114">
        <v>1639</v>
      </c>
      <c r="F2" s="1">
        <v>2732</v>
      </c>
      <c r="G2" s="1">
        <v>641</v>
      </c>
      <c r="H2" s="1">
        <v>1371</v>
      </c>
      <c r="I2" s="1">
        <v>2073.1</v>
      </c>
      <c r="J2" s="1">
        <v>251</v>
      </c>
      <c r="K2" s="1">
        <v>2040</v>
      </c>
      <c r="L2" s="1">
        <v>3989</v>
      </c>
      <c r="M2" s="1">
        <v>4057</v>
      </c>
      <c r="N2" s="1">
        <v>3018</v>
      </c>
      <c r="O2" s="1">
        <v>2000</v>
      </c>
      <c r="P2" s="1">
        <v>3000</v>
      </c>
      <c r="Q2" s="1">
        <v>2000</v>
      </c>
      <c r="R2" s="1">
        <v>2000</v>
      </c>
      <c r="S2" s="1">
        <v>7000</v>
      </c>
      <c r="T2" s="1">
        <v>3000</v>
      </c>
      <c r="U2" s="29">
        <v>8000</v>
      </c>
    </row>
    <row r="3" spans="1:21" x14ac:dyDescent="0.25">
      <c r="A3" s="20" t="s">
        <v>2</v>
      </c>
      <c r="B3" s="47">
        <f t="shared" si="0"/>
        <v>-0.19262859667818991</v>
      </c>
      <c r="C3" s="50">
        <f>E3-[1]Netherlands!E3</f>
        <v>-9820</v>
      </c>
      <c r="D3" s="1">
        <f>F3-[1]Netherlands!F3</f>
        <v>-8607</v>
      </c>
      <c r="E3" s="114">
        <v>31062</v>
      </c>
      <c r="F3" s="1">
        <v>38473</v>
      </c>
      <c r="G3" s="1">
        <v>19774</v>
      </c>
      <c r="H3" s="1">
        <v>45220</v>
      </c>
      <c r="I3" s="1">
        <v>30303.1</v>
      </c>
      <c r="J3" s="1">
        <v>24889</v>
      </c>
      <c r="K3" s="1">
        <v>41826</v>
      </c>
      <c r="L3" s="1">
        <v>47847</v>
      </c>
      <c r="M3" s="1">
        <v>49894</v>
      </c>
      <c r="N3" s="1">
        <v>39533</v>
      </c>
      <c r="O3" s="1">
        <v>35000</v>
      </c>
      <c r="P3" s="1">
        <v>52000</v>
      </c>
      <c r="Q3" s="1">
        <v>38000</v>
      </c>
      <c r="R3" s="1">
        <v>61000</v>
      </c>
      <c r="S3" s="1">
        <v>49000</v>
      </c>
      <c r="T3" s="1">
        <v>48000</v>
      </c>
      <c r="U3" s="29">
        <v>41000</v>
      </c>
    </row>
    <row r="4" spans="1:21" x14ac:dyDescent="0.25">
      <c r="A4" s="20" t="s">
        <v>3</v>
      </c>
      <c r="B4" s="47">
        <f t="shared" si="0"/>
        <v>-0.1955871353777113</v>
      </c>
      <c r="C4" s="50">
        <f>E4-[1]Netherlands!E4</f>
        <v>-1006</v>
      </c>
      <c r="D4" s="1">
        <f>F4-[1]Netherlands!F4</f>
        <v>-353</v>
      </c>
      <c r="E4" s="114">
        <v>2151</v>
      </c>
      <c r="F4" s="1">
        <v>2674</v>
      </c>
      <c r="G4" s="1">
        <v>3001</v>
      </c>
      <c r="H4" s="1">
        <v>3898</v>
      </c>
      <c r="I4" s="1">
        <v>5094.1000000000004</v>
      </c>
      <c r="J4" s="1">
        <v>5826</v>
      </c>
      <c r="K4" s="1">
        <v>7280</v>
      </c>
      <c r="L4" s="1">
        <v>10784</v>
      </c>
      <c r="M4" s="1">
        <v>10817</v>
      </c>
      <c r="N4" s="1">
        <v>13260</v>
      </c>
      <c r="O4" s="1">
        <v>11000</v>
      </c>
      <c r="P4" s="1">
        <v>11000</v>
      </c>
      <c r="Q4" s="1">
        <v>11000</v>
      </c>
      <c r="R4" s="1">
        <v>11000</v>
      </c>
      <c r="S4" s="1">
        <v>14000</v>
      </c>
      <c r="T4" s="1">
        <v>13000</v>
      </c>
      <c r="U4" s="29">
        <v>15000</v>
      </c>
    </row>
    <row r="5" spans="1:21" x14ac:dyDescent="0.25">
      <c r="A5" s="20" t="s">
        <v>108</v>
      </c>
      <c r="B5" s="47">
        <f t="shared" si="0"/>
        <v>8.0749049549124954E-3</v>
      </c>
      <c r="C5" s="50">
        <f>E5-[1]Netherlands!E5</f>
        <v>-4056</v>
      </c>
      <c r="D5" s="1">
        <f>F5-[1]Netherlands!F5</f>
        <v>-2785</v>
      </c>
      <c r="E5" s="114">
        <v>32084</v>
      </c>
      <c r="F5" s="1">
        <v>31827</v>
      </c>
      <c r="G5" s="1">
        <v>30068</v>
      </c>
      <c r="H5" s="1">
        <v>36484</v>
      </c>
      <c r="I5" s="1">
        <v>36744.1</v>
      </c>
      <c r="J5" s="1">
        <v>30634</v>
      </c>
      <c r="K5" s="76">
        <v>53125</v>
      </c>
      <c r="L5" s="76">
        <v>52207</v>
      </c>
      <c r="M5" s="76">
        <v>57469</v>
      </c>
      <c r="N5" s="76">
        <v>57046</v>
      </c>
      <c r="O5" s="76">
        <v>51000</v>
      </c>
      <c r="P5" s="76">
        <v>85000</v>
      </c>
      <c r="Q5" s="76">
        <v>51000</v>
      </c>
      <c r="R5" s="76">
        <v>75000</v>
      </c>
      <c r="S5" s="76">
        <v>82000</v>
      </c>
      <c r="T5" s="1">
        <v>80000</v>
      </c>
      <c r="U5" s="29">
        <v>72000</v>
      </c>
    </row>
    <row r="6" spans="1:21" x14ac:dyDescent="0.25">
      <c r="A6" s="40" t="s">
        <v>135</v>
      </c>
      <c r="B6" s="47">
        <f t="shared" si="0"/>
        <v>-3.4508660303994347E-2</v>
      </c>
      <c r="C6" s="50">
        <f>E6-[1]Netherlands!E6</f>
        <v>-2779</v>
      </c>
      <c r="D6" s="1">
        <f>F6-[1]Netherlands!F6</f>
        <v>-3504</v>
      </c>
      <c r="E6" s="114">
        <v>21851</v>
      </c>
      <c r="F6" s="1">
        <v>22632</v>
      </c>
      <c r="G6" s="1">
        <v>19598</v>
      </c>
      <c r="H6" s="1">
        <v>22667</v>
      </c>
      <c r="I6" s="1">
        <v>23091.1</v>
      </c>
      <c r="J6" s="1">
        <v>12110</v>
      </c>
      <c r="K6" s="76">
        <v>22217</v>
      </c>
      <c r="L6" s="76">
        <v>18675</v>
      </c>
      <c r="M6" s="76">
        <v>18710</v>
      </c>
      <c r="N6" s="76">
        <v>14006</v>
      </c>
      <c r="O6" s="76"/>
      <c r="P6" s="76"/>
      <c r="Q6" s="76"/>
      <c r="R6" s="76"/>
      <c r="S6" s="76"/>
      <c r="T6" s="1"/>
      <c r="U6" s="29"/>
    </row>
    <row r="7" spans="1:21" ht="13.8" thickBot="1" x14ac:dyDescent="0.3">
      <c r="A7" s="30" t="s">
        <v>59</v>
      </c>
      <c r="B7" s="47">
        <f t="shared" si="0"/>
        <v>-0.17470760233918128</v>
      </c>
      <c r="C7" s="51">
        <f>E7-[1]Netherlands!E7</f>
        <v>-1320</v>
      </c>
      <c r="D7" s="10">
        <f>F7-[1]Netherlands!F7</f>
        <v>-835</v>
      </c>
      <c r="E7" s="116">
        <v>2258</v>
      </c>
      <c r="F7" s="10">
        <v>2736</v>
      </c>
      <c r="G7" s="10">
        <v>5210</v>
      </c>
      <c r="H7" s="10">
        <v>5058</v>
      </c>
      <c r="I7" s="10">
        <v>5435</v>
      </c>
      <c r="J7" s="10">
        <v>4107</v>
      </c>
      <c r="K7" s="77">
        <v>5654</v>
      </c>
      <c r="L7" s="77">
        <v>4511</v>
      </c>
      <c r="M7" s="77">
        <v>5807</v>
      </c>
      <c r="N7" s="77">
        <v>6239</v>
      </c>
      <c r="O7" s="77">
        <v>18000</v>
      </c>
      <c r="P7" s="77">
        <v>20000</v>
      </c>
      <c r="Q7" s="77">
        <v>18000</v>
      </c>
      <c r="R7" s="77">
        <v>14000</v>
      </c>
      <c r="S7" s="77">
        <v>5000</v>
      </c>
      <c r="T7" s="10">
        <v>3000</v>
      </c>
      <c r="U7" s="31">
        <v>5000</v>
      </c>
    </row>
    <row r="8" spans="1:21" ht="13.8" thickBot="1" x14ac:dyDescent="0.3">
      <c r="A8" s="32" t="s">
        <v>23</v>
      </c>
      <c r="B8" s="143">
        <f t="shared" si="0"/>
        <v>-9.9224330688406512E-2</v>
      </c>
      <c r="C8" s="70">
        <f>E8-[1]Netherlands!E8</f>
        <v>-19830</v>
      </c>
      <c r="D8" s="34">
        <f>F8-[1]Netherlands!F8</f>
        <v>-17264</v>
      </c>
      <c r="E8" s="117">
        <f>SUM(E2:E7)</f>
        <v>91045</v>
      </c>
      <c r="F8" s="34">
        <f>SUM(F2:F7)</f>
        <v>101074</v>
      </c>
      <c r="G8" s="34">
        <f>SUM(G2:G7)</f>
        <v>78292</v>
      </c>
      <c r="H8" s="34">
        <f t="shared" ref="H8:M8" si="1">SUM(H2:H7)</f>
        <v>114698</v>
      </c>
      <c r="I8" s="34">
        <f t="shared" si="1"/>
        <v>102740.5</v>
      </c>
      <c r="J8" s="34">
        <f t="shared" si="1"/>
        <v>77817</v>
      </c>
      <c r="K8" s="34">
        <f t="shared" si="1"/>
        <v>132142</v>
      </c>
      <c r="L8" s="34">
        <f t="shared" si="1"/>
        <v>138013</v>
      </c>
      <c r="M8" s="34">
        <f t="shared" si="1"/>
        <v>146754</v>
      </c>
      <c r="N8" s="34">
        <f t="shared" ref="N8:U8" si="2">SUM(N2:N7)</f>
        <v>133102</v>
      </c>
      <c r="O8" s="34">
        <f t="shared" si="2"/>
        <v>117000</v>
      </c>
      <c r="P8" s="34">
        <f t="shared" si="2"/>
        <v>171000</v>
      </c>
      <c r="Q8" s="34">
        <f t="shared" si="2"/>
        <v>120000</v>
      </c>
      <c r="R8" s="34">
        <f t="shared" si="2"/>
        <v>163000</v>
      </c>
      <c r="S8" s="34">
        <f t="shared" si="2"/>
        <v>157000</v>
      </c>
      <c r="T8" s="34">
        <f t="shared" si="2"/>
        <v>147000</v>
      </c>
      <c r="U8" s="35">
        <f t="shared" si="2"/>
        <v>141000</v>
      </c>
    </row>
    <row r="9" spans="1:21" x14ac:dyDescent="0.25"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21" ht="13.8" thickBot="1" x14ac:dyDescent="0.3"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21" ht="13.8" thickBot="1" x14ac:dyDescent="0.3">
      <c r="A11" s="23" t="s">
        <v>25</v>
      </c>
      <c r="B11" s="24" t="s">
        <v>176</v>
      </c>
      <c r="C11" s="49" t="s">
        <v>177</v>
      </c>
      <c r="D11" s="25" t="s">
        <v>173</v>
      </c>
      <c r="E11" s="115">
        <v>44986</v>
      </c>
      <c r="F11" s="25">
        <v>44621</v>
      </c>
      <c r="G11" s="25">
        <v>44256</v>
      </c>
      <c r="H11" s="25">
        <v>43891</v>
      </c>
      <c r="I11" s="25">
        <v>43525</v>
      </c>
      <c r="J11" s="25">
        <v>43160</v>
      </c>
      <c r="K11" s="25">
        <v>42795</v>
      </c>
      <c r="L11" s="25">
        <v>42430</v>
      </c>
      <c r="M11" s="25">
        <f>M1</f>
        <v>42064</v>
      </c>
      <c r="N11" s="25">
        <v>41699</v>
      </c>
      <c r="O11" s="25">
        <v>41334</v>
      </c>
      <c r="P11" s="25">
        <v>40969</v>
      </c>
      <c r="Q11" s="25">
        <v>40603</v>
      </c>
      <c r="R11" s="25">
        <v>40238</v>
      </c>
      <c r="S11" s="25">
        <v>39873</v>
      </c>
      <c r="T11" s="25">
        <v>39508</v>
      </c>
      <c r="U11" s="26">
        <v>39142</v>
      </c>
    </row>
    <row r="12" spans="1:21" x14ac:dyDescent="0.25">
      <c r="A12" s="20" t="s">
        <v>7</v>
      </c>
      <c r="B12" s="27">
        <f>(E12-F12)/F12</f>
        <v>0.13857461987461267</v>
      </c>
      <c r="C12" s="50">
        <f>E12-[1]Netherlands!E12</f>
        <v>-29125</v>
      </c>
      <c r="D12" s="1">
        <f>F12-[1]Netherlands!F12</f>
        <v>-24440</v>
      </c>
      <c r="E12" s="114">
        <v>126400</v>
      </c>
      <c r="F12" s="1">
        <v>111016</v>
      </c>
      <c r="G12" s="1">
        <v>131526</v>
      </c>
      <c r="H12" s="1">
        <v>114992</v>
      </c>
      <c r="I12" s="1">
        <v>133343</v>
      </c>
      <c r="J12" s="38">
        <v>118152</v>
      </c>
      <c r="K12" s="1">
        <v>124617</v>
      </c>
      <c r="L12" s="1">
        <v>127331</v>
      </c>
      <c r="M12" s="1">
        <v>120931</v>
      </c>
      <c r="N12" s="1">
        <v>109762</v>
      </c>
      <c r="O12" s="1">
        <v>59000</v>
      </c>
      <c r="P12" s="1">
        <v>102000</v>
      </c>
      <c r="Q12" s="1">
        <v>81000</v>
      </c>
      <c r="R12" s="1">
        <v>87000</v>
      </c>
      <c r="S12" s="1">
        <v>39000</v>
      </c>
      <c r="T12" s="1">
        <v>60000</v>
      </c>
      <c r="U12" s="29">
        <v>62000</v>
      </c>
    </row>
    <row r="13" spans="1:21" x14ac:dyDescent="0.25">
      <c r="A13" s="20" t="s">
        <v>100</v>
      </c>
      <c r="B13" s="27"/>
      <c r="C13" s="50">
        <f>E13-[1]Netherlands!E13</f>
        <v>-2307</v>
      </c>
      <c r="D13" s="1">
        <f>F13-[1]Netherlands!F13</f>
        <v>-2216</v>
      </c>
      <c r="E13" s="114">
        <v>170</v>
      </c>
      <c r="F13" s="1">
        <v>0</v>
      </c>
      <c r="G13" s="1">
        <v>206</v>
      </c>
      <c r="H13" s="1">
        <v>445</v>
      </c>
      <c r="I13" s="1">
        <v>2320</v>
      </c>
      <c r="J13" s="38">
        <v>100</v>
      </c>
      <c r="K13" s="1">
        <v>1657</v>
      </c>
      <c r="L13" s="1">
        <v>1320</v>
      </c>
      <c r="M13" s="1">
        <v>1027</v>
      </c>
      <c r="N13" s="1">
        <v>1061</v>
      </c>
      <c r="O13" s="1">
        <v>0</v>
      </c>
      <c r="P13" s="1">
        <v>1000</v>
      </c>
      <c r="Q13" s="1">
        <v>0</v>
      </c>
      <c r="R13" s="1">
        <v>1000</v>
      </c>
      <c r="S13" s="1">
        <v>0</v>
      </c>
      <c r="T13" s="1">
        <v>1000</v>
      </c>
      <c r="U13" s="29">
        <v>2000</v>
      </c>
    </row>
    <row r="14" spans="1:21" ht="13.8" thickBot="1" x14ac:dyDescent="0.3">
      <c r="A14" s="30" t="s">
        <v>6</v>
      </c>
      <c r="B14" s="27">
        <f>(E14-F14)/F14</f>
        <v>0.40346320346320347</v>
      </c>
      <c r="C14" s="51">
        <f>E14-[1]Netherlands!E14</f>
        <v>-4414</v>
      </c>
      <c r="D14" s="10">
        <f>F14-[1]Netherlands!F14</f>
        <v>-4672</v>
      </c>
      <c r="E14" s="116">
        <v>8105</v>
      </c>
      <c r="F14" s="10">
        <v>5775</v>
      </c>
      <c r="G14" s="10">
        <v>6122</v>
      </c>
      <c r="H14" s="10">
        <v>5822</v>
      </c>
      <c r="I14" s="10">
        <v>7751</v>
      </c>
      <c r="J14" s="37">
        <v>2752</v>
      </c>
      <c r="K14" s="10">
        <v>7063</v>
      </c>
      <c r="L14" s="10">
        <v>7541</v>
      </c>
      <c r="M14" s="10">
        <v>4336</v>
      </c>
      <c r="N14" s="10">
        <v>6698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31">
        <v>1000</v>
      </c>
    </row>
    <row r="15" spans="1:21" ht="13.8" thickBot="1" x14ac:dyDescent="0.3">
      <c r="A15" s="32" t="s">
        <v>23</v>
      </c>
      <c r="B15" s="143">
        <f>(E15-F15)/F15</f>
        <v>0.15312823762104957</v>
      </c>
      <c r="C15" s="70">
        <f>E15-[1]Netherlands!E15</f>
        <v>-35846</v>
      </c>
      <c r="D15" s="34">
        <f>F15-[1]Netherlands!F15</f>
        <v>-31328</v>
      </c>
      <c r="E15" s="117">
        <f>SUM(E12:E14)</f>
        <v>134675</v>
      </c>
      <c r="F15" s="34">
        <f>SUM(F12:F14)</f>
        <v>116791</v>
      </c>
      <c r="G15" s="34">
        <f>SUM(G12:G14)</f>
        <v>137854</v>
      </c>
      <c r="H15" s="34">
        <f>SUM(H12:H14)</f>
        <v>121259</v>
      </c>
      <c r="I15" s="34">
        <f>SUM(I12:I14)</f>
        <v>143414</v>
      </c>
      <c r="J15" s="34">
        <f t="shared" ref="J15:O15" si="3">SUM(J12:J14)</f>
        <v>121004</v>
      </c>
      <c r="K15" s="34">
        <f t="shared" si="3"/>
        <v>133337</v>
      </c>
      <c r="L15" s="34">
        <f t="shared" si="3"/>
        <v>136192</v>
      </c>
      <c r="M15" s="34">
        <f t="shared" si="3"/>
        <v>126294</v>
      </c>
      <c r="N15" s="34">
        <f t="shared" si="3"/>
        <v>117521</v>
      </c>
      <c r="O15" s="34">
        <f t="shared" si="3"/>
        <v>59000</v>
      </c>
      <c r="P15" s="34">
        <f t="shared" ref="P15:U15" si="4">SUM(P12:P14)</f>
        <v>103000</v>
      </c>
      <c r="Q15" s="34">
        <f t="shared" si="4"/>
        <v>81000</v>
      </c>
      <c r="R15" s="34">
        <f t="shared" si="4"/>
        <v>88000</v>
      </c>
      <c r="S15" s="34">
        <f t="shared" si="4"/>
        <v>39000</v>
      </c>
      <c r="T15" s="34">
        <f t="shared" si="4"/>
        <v>61000</v>
      </c>
      <c r="U15" s="35">
        <f t="shared" si="4"/>
        <v>65000</v>
      </c>
    </row>
    <row r="21" spans="4:22" ht="14.4" x14ac:dyDescent="0.25">
      <c r="D21" s="127"/>
      <c r="E21" s="127"/>
      <c r="F21" s="127"/>
      <c r="G21" s="127"/>
      <c r="H21" s="127"/>
    </row>
    <row r="22" spans="4:22" ht="17.399999999999999" x14ac:dyDescent="0.3">
      <c r="D22" s="128"/>
      <c r="E22" s="128"/>
      <c r="F22" s="128"/>
      <c r="G22" s="128"/>
      <c r="H22" s="128"/>
      <c r="T22" s="5"/>
      <c r="U22" s="1"/>
      <c r="V22" s="1"/>
    </row>
    <row r="23" spans="4:22" ht="17.399999999999999" x14ac:dyDescent="0.3">
      <c r="D23" s="128"/>
      <c r="E23" s="128"/>
      <c r="F23" s="128"/>
      <c r="G23" s="128"/>
      <c r="H23" s="128"/>
      <c r="T23" s="5"/>
      <c r="U23" s="1"/>
      <c r="V23" s="1"/>
    </row>
    <row r="24" spans="4:22" ht="17.399999999999999" x14ac:dyDescent="0.3">
      <c r="D24" s="128"/>
      <c r="E24" s="128"/>
      <c r="F24" s="128"/>
      <c r="G24" s="128"/>
      <c r="H24" s="128"/>
      <c r="T24" s="5"/>
      <c r="U24" s="1"/>
      <c r="V24" s="1"/>
    </row>
    <row r="25" spans="4:22" ht="17.399999999999999" x14ac:dyDescent="0.3">
      <c r="D25" s="128"/>
      <c r="E25" s="128"/>
      <c r="F25" s="128"/>
      <c r="G25" s="128"/>
      <c r="H25" s="128"/>
      <c r="T25" s="5"/>
      <c r="U25" s="1"/>
      <c r="V25" s="1"/>
    </row>
    <row r="26" spans="4:22" ht="17.399999999999999" x14ac:dyDescent="0.3">
      <c r="D26" s="128"/>
      <c r="E26" s="128"/>
      <c r="F26" s="128"/>
      <c r="G26" s="128"/>
      <c r="H26" s="128"/>
      <c r="T26" s="5"/>
      <c r="U26" s="1"/>
      <c r="V26" s="1"/>
    </row>
    <row r="27" spans="4:22" ht="17.399999999999999" x14ac:dyDescent="0.3">
      <c r="D27" s="128"/>
      <c r="E27" s="128"/>
      <c r="F27" s="128"/>
      <c r="G27" s="128"/>
      <c r="H27" s="128"/>
      <c r="T27" s="5"/>
      <c r="U27" s="1"/>
      <c r="V27" s="1"/>
    </row>
    <row r="28" spans="4:22" ht="17.399999999999999" x14ac:dyDescent="0.3">
      <c r="D28" s="128"/>
      <c r="E28" s="128"/>
      <c r="F28" s="128"/>
      <c r="G28" s="128"/>
      <c r="H28" s="128"/>
      <c r="T28" s="5"/>
      <c r="U28" s="1"/>
      <c r="V28" s="1"/>
    </row>
    <row r="29" spans="4:22" ht="17.399999999999999" x14ac:dyDescent="0.3">
      <c r="D29" s="128"/>
      <c r="E29" s="128"/>
      <c r="F29" s="128"/>
      <c r="G29" s="128"/>
      <c r="H29" s="128"/>
      <c r="T29" s="5"/>
      <c r="U29" s="1"/>
      <c r="V29" s="1"/>
    </row>
    <row r="30" spans="4:22" ht="17.399999999999999" x14ac:dyDescent="0.3">
      <c r="D30" s="128"/>
      <c r="E30" s="128"/>
      <c r="F30" s="128"/>
      <c r="G30" s="128"/>
      <c r="H30" s="128"/>
      <c r="T30" s="5"/>
      <c r="U30" s="1"/>
      <c r="V30" s="1"/>
    </row>
    <row r="31" spans="4:22" ht="17.399999999999999" x14ac:dyDescent="0.3">
      <c r="D31" s="128"/>
      <c r="E31" s="128"/>
      <c r="F31" s="128"/>
      <c r="G31" s="128"/>
      <c r="H31" s="128"/>
      <c r="T31" s="5"/>
      <c r="U31" s="1"/>
      <c r="V31" s="1"/>
    </row>
    <row r="32" spans="4:22" ht="17.399999999999999" x14ac:dyDescent="0.3">
      <c r="D32" s="128"/>
      <c r="E32" s="128"/>
      <c r="F32" s="128"/>
      <c r="G32" s="128"/>
      <c r="H32" s="128"/>
      <c r="T32" s="6"/>
      <c r="U32" s="1"/>
      <c r="V32" s="1"/>
    </row>
    <row r="33" spans="4:22" ht="18" x14ac:dyDescent="0.35">
      <c r="D33" s="128"/>
      <c r="E33" s="128"/>
      <c r="F33" s="128"/>
      <c r="G33" s="128"/>
      <c r="H33" s="128"/>
      <c r="T33" s="7"/>
      <c r="U33" s="2"/>
      <c r="V33" s="2"/>
    </row>
    <row r="34" spans="4:22" x14ac:dyDescent="0.25">
      <c r="D34" s="128"/>
      <c r="E34" s="128"/>
      <c r="F34" s="128"/>
      <c r="G34" s="128"/>
      <c r="H34" s="128"/>
    </row>
    <row r="35" spans="4:22" x14ac:dyDescent="0.25">
      <c r="D35" s="128"/>
      <c r="E35" s="128"/>
      <c r="F35" s="128"/>
      <c r="G35" s="128"/>
      <c r="H35" s="128"/>
    </row>
    <row r="36" spans="4:22" x14ac:dyDescent="0.25">
      <c r="D36" s="128"/>
      <c r="E36" s="128"/>
      <c r="F36" s="128"/>
      <c r="G36" s="128"/>
      <c r="H36" s="128"/>
    </row>
    <row r="37" spans="4:22" x14ac:dyDescent="0.25">
      <c r="D37" s="128"/>
      <c r="E37" s="128"/>
      <c r="F37" s="128"/>
      <c r="G37" s="128"/>
      <c r="H37" s="128"/>
    </row>
    <row r="38" spans="4:22" x14ac:dyDescent="0.25">
      <c r="D38" s="128"/>
      <c r="E38" s="128"/>
      <c r="F38" s="128"/>
      <c r="G38" s="128"/>
      <c r="H38" s="128"/>
    </row>
    <row r="39" spans="4:22" x14ac:dyDescent="0.25">
      <c r="D39" s="128"/>
      <c r="E39" s="128"/>
      <c r="F39" s="128"/>
      <c r="G39" s="128"/>
      <c r="H39" s="128"/>
    </row>
  </sheetData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40"/>
  <sheetViews>
    <sheetView workbookViewId="0"/>
  </sheetViews>
  <sheetFormatPr defaultColWidth="8.77734375" defaultRowHeight="13.2" x14ac:dyDescent="0.25"/>
  <cols>
    <col min="1" max="1" width="18.109375" customWidth="1"/>
    <col min="2" max="2" width="10.6640625" customWidth="1"/>
    <col min="3" max="3" width="11.6640625" bestFit="1" customWidth="1"/>
    <col min="4" max="4" width="11.33203125" bestFit="1" customWidth="1"/>
    <col min="5" max="10" width="11.33203125" customWidth="1"/>
    <col min="11" max="21" width="10.109375" bestFit="1" customWidth="1"/>
  </cols>
  <sheetData>
    <row r="1" spans="1:22" ht="13.8" thickBot="1" x14ac:dyDescent="0.3">
      <c r="A1" s="39" t="s">
        <v>91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2" x14ac:dyDescent="0.25">
      <c r="A2" s="40" t="s">
        <v>11</v>
      </c>
      <c r="B2" s="47">
        <f t="shared" ref="B2:B7" si="0">(E2-F2)/F2</f>
        <v>-5.0653354867126708E-2</v>
      </c>
      <c r="C2" s="129">
        <f>E2-[1]UK!E2</f>
        <v>-6234</v>
      </c>
      <c r="D2" s="38">
        <f>F2-[1]UK!F2</f>
        <v>-3078</v>
      </c>
      <c r="E2" s="43">
        <v>12932</v>
      </c>
      <c r="F2" s="38">
        <v>13622</v>
      </c>
      <c r="G2" s="38">
        <v>10030</v>
      </c>
      <c r="H2" s="38">
        <v>10839</v>
      </c>
      <c r="I2" s="38">
        <v>9625</v>
      </c>
      <c r="J2" s="38">
        <v>4105</v>
      </c>
      <c r="K2" s="38">
        <v>8940</v>
      </c>
      <c r="L2" s="38">
        <v>11500</v>
      </c>
      <c r="M2" s="38">
        <v>8500</v>
      </c>
      <c r="N2" s="38">
        <v>6100</v>
      </c>
      <c r="O2" s="38">
        <v>2500</v>
      </c>
      <c r="P2" s="38">
        <v>7300</v>
      </c>
      <c r="Q2" s="38">
        <v>6000</v>
      </c>
      <c r="R2" s="38">
        <v>8600</v>
      </c>
      <c r="S2" s="38">
        <v>2500</v>
      </c>
      <c r="T2" s="38">
        <v>3600</v>
      </c>
      <c r="U2" s="65">
        <v>1000</v>
      </c>
    </row>
    <row r="3" spans="1:22" x14ac:dyDescent="0.25">
      <c r="A3" s="40" t="s">
        <v>36</v>
      </c>
      <c r="B3" s="47">
        <f t="shared" si="0"/>
        <v>0.61806342015855043</v>
      </c>
      <c r="C3" s="129">
        <f>E3-[1]UK!E3</f>
        <v>-4946</v>
      </c>
      <c r="D3" s="38">
        <f>F3-[1]UK!F3</f>
        <v>-1514</v>
      </c>
      <c r="E3" s="43">
        <v>22860</v>
      </c>
      <c r="F3" s="38">
        <v>14128</v>
      </c>
      <c r="G3" s="38">
        <v>19285</v>
      </c>
      <c r="H3" s="38">
        <v>19072</v>
      </c>
      <c r="I3" s="38">
        <v>26000</v>
      </c>
      <c r="J3" s="38">
        <v>25000</v>
      </c>
      <c r="K3" s="38">
        <v>5480</v>
      </c>
      <c r="L3" s="38">
        <v>22000</v>
      </c>
      <c r="M3" s="38">
        <v>38000</v>
      </c>
      <c r="N3" s="38">
        <v>31000</v>
      </c>
      <c r="O3" s="38">
        <v>14000</v>
      </c>
      <c r="P3" s="38">
        <v>34000</v>
      </c>
      <c r="Q3" s="38">
        <v>38000</v>
      </c>
      <c r="R3" s="38">
        <v>35000</v>
      </c>
      <c r="S3" s="38">
        <v>34000</v>
      </c>
      <c r="T3" s="38">
        <v>31000</v>
      </c>
      <c r="U3" s="65">
        <v>35000</v>
      </c>
    </row>
    <row r="4" spans="1:22" x14ac:dyDescent="0.25">
      <c r="A4" s="40" t="s">
        <v>29</v>
      </c>
      <c r="B4" s="47">
        <f t="shared" si="0"/>
        <v>0.34782608695652173</v>
      </c>
      <c r="C4" s="129">
        <f>E4-[1]UK!E4</f>
        <v>-1228</v>
      </c>
      <c r="D4" s="38">
        <f>F4-[1]UK!F4</f>
        <v>-1122</v>
      </c>
      <c r="E4" s="43">
        <v>3317</v>
      </c>
      <c r="F4" s="38">
        <v>2461</v>
      </c>
      <c r="G4" s="38">
        <v>3371</v>
      </c>
      <c r="H4" s="38">
        <v>1474</v>
      </c>
      <c r="I4" s="38">
        <v>1793</v>
      </c>
      <c r="J4" s="38">
        <v>354</v>
      </c>
      <c r="K4" s="38"/>
      <c r="L4" s="38">
        <v>1500</v>
      </c>
      <c r="M4" s="38">
        <v>0</v>
      </c>
      <c r="N4" s="38">
        <v>500</v>
      </c>
      <c r="O4" s="38"/>
      <c r="P4" s="38"/>
      <c r="Q4" s="38"/>
      <c r="R4" s="38">
        <v>700</v>
      </c>
      <c r="S4" s="38">
        <v>200</v>
      </c>
      <c r="T4" s="38"/>
      <c r="U4" s="65"/>
    </row>
    <row r="5" spans="1:22" x14ac:dyDescent="0.25">
      <c r="A5" s="40" t="s">
        <v>5</v>
      </c>
      <c r="B5" s="47">
        <f t="shared" si="0"/>
        <v>1.3823529411764706</v>
      </c>
      <c r="C5" s="129">
        <f>E5-[1]UK!E5</f>
        <v>-893</v>
      </c>
      <c r="D5" s="38">
        <f>F5-[1]UK!F5</f>
        <v>-508</v>
      </c>
      <c r="E5" s="43">
        <v>1215</v>
      </c>
      <c r="F5" s="38">
        <v>510</v>
      </c>
      <c r="G5" s="38">
        <v>812</v>
      </c>
      <c r="H5" s="38">
        <v>1182</v>
      </c>
      <c r="I5" s="38">
        <v>1764</v>
      </c>
      <c r="J5" s="38">
        <v>234</v>
      </c>
      <c r="K5" s="38">
        <v>2030</v>
      </c>
      <c r="L5" s="38">
        <v>5100</v>
      </c>
      <c r="M5" s="38">
        <v>900</v>
      </c>
      <c r="N5" s="38">
        <v>6200</v>
      </c>
      <c r="O5" s="38">
        <v>2000</v>
      </c>
      <c r="P5" s="38">
        <v>4700</v>
      </c>
      <c r="Q5" s="38">
        <v>7000</v>
      </c>
      <c r="R5" s="38">
        <v>6500</v>
      </c>
      <c r="S5" s="38">
        <v>3000</v>
      </c>
      <c r="T5" s="38">
        <v>7500</v>
      </c>
      <c r="U5" s="65">
        <v>3000</v>
      </c>
    </row>
    <row r="6" spans="1:22" x14ac:dyDescent="0.25">
      <c r="A6" s="40" t="s">
        <v>9</v>
      </c>
      <c r="B6" s="47">
        <f t="shared" si="0"/>
        <v>0.45115628343346226</v>
      </c>
      <c r="C6" s="129">
        <f>E6-[1]UK!E6</f>
        <v>-6876</v>
      </c>
      <c r="D6" s="38">
        <f>F6-[1]UK!F6</f>
        <v>-6959</v>
      </c>
      <c r="E6" s="43">
        <v>35266</v>
      </c>
      <c r="F6" s="38">
        <v>24302</v>
      </c>
      <c r="G6" s="38">
        <v>18952</v>
      </c>
      <c r="H6" s="38">
        <v>21057</v>
      </c>
      <c r="I6" s="38">
        <v>18922</v>
      </c>
      <c r="J6" s="38">
        <v>14802</v>
      </c>
      <c r="K6" s="38">
        <v>10510</v>
      </c>
      <c r="L6" s="38">
        <v>18100</v>
      </c>
      <c r="M6" s="38">
        <v>7200</v>
      </c>
      <c r="N6" s="38">
        <v>6300</v>
      </c>
      <c r="O6" s="38">
        <v>6000</v>
      </c>
      <c r="P6" s="38">
        <v>6500</v>
      </c>
      <c r="Q6" s="38">
        <v>5500</v>
      </c>
      <c r="R6" s="38">
        <v>3500</v>
      </c>
      <c r="S6" s="38">
        <v>1700</v>
      </c>
      <c r="T6" s="38">
        <v>800</v>
      </c>
      <c r="U6" s="65"/>
    </row>
    <row r="7" spans="1:22" x14ac:dyDescent="0.25">
      <c r="A7" s="40" t="s">
        <v>27</v>
      </c>
      <c r="B7" s="47">
        <f t="shared" si="0"/>
        <v>-0.56834532374100721</v>
      </c>
      <c r="C7" s="129">
        <f>E7-[1]UK!E7</f>
        <v>60</v>
      </c>
      <c r="D7" s="38">
        <f>F7-[1]UK!F7</f>
        <v>139</v>
      </c>
      <c r="E7" s="43">
        <v>60</v>
      </c>
      <c r="F7" s="38">
        <v>139</v>
      </c>
      <c r="G7" s="38"/>
      <c r="H7" s="38">
        <v>56</v>
      </c>
      <c r="I7" s="38">
        <v>100</v>
      </c>
      <c r="J7" s="38"/>
      <c r="K7" s="38"/>
      <c r="L7" s="38">
        <v>0</v>
      </c>
      <c r="M7" s="38">
        <v>0</v>
      </c>
      <c r="N7" s="38">
        <v>0</v>
      </c>
      <c r="O7" s="38">
        <v>0</v>
      </c>
      <c r="P7" s="38"/>
      <c r="Q7" s="38">
        <v>0</v>
      </c>
      <c r="R7" s="38">
        <v>100</v>
      </c>
      <c r="S7" s="38">
        <v>500</v>
      </c>
      <c r="T7" s="38">
        <v>1000</v>
      </c>
      <c r="U7" s="65"/>
      <c r="V7" s="1"/>
    </row>
    <row r="8" spans="1:22" x14ac:dyDescent="0.25">
      <c r="A8" s="40" t="s">
        <v>26</v>
      </c>
      <c r="B8" s="47"/>
      <c r="C8" s="129">
        <f>E8-[1]UK!E8</f>
        <v>0</v>
      </c>
      <c r="D8" s="38">
        <f>F8-[1]UK!F8</f>
        <v>0</v>
      </c>
      <c r="E8" s="43"/>
      <c r="F8" s="38"/>
      <c r="G8" s="38"/>
      <c r="H8" s="38"/>
      <c r="I8" s="38"/>
      <c r="J8" s="38">
        <v>305</v>
      </c>
      <c r="K8" s="38"/>
      <c r="L8" s="38">
        <v>1500</v>
      </c>
      <c r="M8" s="38">
        <v>0</v>
      </c>
      <c r="N8" s="38">
        <v>2000</v>
      </c>
      <c r="O8" s="38">
        <v>0</v>
      </c>
      <c r="P8" s="38">
        <v>0</v>
      </c>
      <c r="Q8" s="38">
        <v>1000</v>
      </c>
      <c r="R8" s="38">
        <v>1000</v>
      </c>
      <c r="S8" s="38">
        <v>1000</v>
      </c>
      <c r="T8" s="38"/>
      <c r="U8" s="65"/>
    </row>
    <row r="9" spans="1:22" x14ac:dyDescent="0.25">
      <c r="A9" s="40" t="s">
        <v>35</v>
      </c>
      <c r="B9" s="47"/>
      <c r="C9" s="129">
        <f>E9-[1]UK!E9</f>
        <v>0</v>
      </c>
      <c r="D9" s="38">
        <f>F9-[1]UK!F9</f>
        <v>0</v>
      </c>
      <c r="E9" s="43"/>
      <c r="F9" s="38"/>
      <c r="G9" s="38">
        <v>151</v>
      </c>
      <c r="H9" s="38">
        <v>80</v>
      </c>
      <c r="I9" s="38">
        <v>85</v>
      </c>
      <c r="J9" s="38"/>
      <c r="K9" s="38"/>
      <c r="L9" s="38">
        <v>0</v>
      </c>
      <c r="M9" s="38">
        <v>0</v>
      </c>
      <c r="N9" s="38">
        <v>0</v>
      </c>
      <c r="O9" s="38">
        <v>0</v>
      </c>
      <c r="P9" s="38"/>
      <c r="Q9" s="38">
        <v>0</v>
      </c>
      <c r="R9" s="38">
        <v>0</v>
      </c>
      <c r="S9" s="38">
        <v>0</v>
      </c>
      <c r="T9" s="38"/>
      <c r="U9" s="65"/>
    </row>
    <row r="10" spans="1:22" x14ac:dyDescent="0.25">
      <c r="A10" s="40" t="s">
        <v>135</v>
      </c>
      <c r="B10" s="47">
        <f>(E10-F10)/F10</f>
        <v>0.47364280094413846</v>
      </c>
      <c r="C10" s="129">
        <f>E10-[1]UK!E10</f>
        <v>-176</v>
      </c>
      <c r="D10" s="38">
        <f>F10-[1]UK!F10</f>
        <v>-2205</v>
      </c>
      <c r="E10" s="43">
        <v>9365</v>
      </c>
      <c r="F10" s="38">
        <v>6355</v>
      </c>
      <c r="G10" s="38">
        <v>4926</v>
      </c>
      <c r="H10" s="38">
        <v>4988</v>
      </c>
      <c r="I10" s="38">
        <v>4500</v>
      </c>
      <c r="J10" s="38">
        <f>3317</f>
        <v>3317</v>
      </c>
      <c r="K10" s="38"/>
      <c r="L10" s="38">
        <v>4900</v>
      </c>
      <c r="M10" s="38">
        <v>5000</v>
      </c>
      <c r="N10" s="38">
        <v>3000</v>
      </c>
      <c r="O10" s="38">
        <v>1500</v>
      </c>
      <c r="P10" s="38">
        <v>800</v>
      </c>
      <c r="Q10" s="38">
        <v>3000</v>
      </c>
      <c r="R10" s="38">
        <v>3000</v>
      </c>
      <c r="S10" s="38"/>
      <c r="T10" s="38"/>
      <c r="U10" s="65"/>
    </row>
    <row r="11" spans="1:22" ht="13.8" thickBot="1" x14ac:dyDescent="0.3">
      <c r="A11" s="41" t="s">
        <v>6</v>
      </c>
      <c r="B11" s="47">
        <f>(E11-F11)/F11</f>
        <v>0.33684210526315789</v>
      </c>
      <c r="C11" s="130">
        <f>E11-[1]UK!E11</f>
        <v>-355</v>
      </c>
      <c r="D11" s="38">
        <f>F11-[1]UK!F11</f>
        <v>-449</v>
      </c>
      <c r="E11" s="43">
        <v>889</v>
      </c>
      <c r="F11" s="38">
        <v>665</v>
      </c>
      <c r="G11" s="38">
        <v>413</v>
      </c>
      <c r="H11" s="38">
        <v>1747</v>
      </c>
      <c r="I11" s="38">
        <v>1578</v>
      </c>
      <c r="J11" s="38">
        <v>305</v>
      </c>
      <c r="K11" s="37">
        <v>4580</v>
      </c>
      <c r="L11" s="38">
        <v>600</v>
      </c>
      <c r="M11" s="38">
        <v>500</v>
      </c>
      <c r="N11" s="38">
        <v>500</v>
      </c>
      <c r="O11" s="38">
        <v>0</v>
      </c>
      <c r="P11" s="38">
        <v>100</v>
      </c>
      <c r="Q11" s="38">
        <v>500</v>
      </c>
      <c r="R11" s="38">
        <v>500</v>
      </c>
      <c r="S11" s="38">
        <v>2000</v>
      </c>
      <c r="T11" s="38">
        <v>2000</v>
      </c>
      <c r="U11" s="66">
        <v>1000</v>
      </c>
    </row>
    <row r="12" spans="1:22" ht="13.8" thickBot="1" x14ac:dyDescent="0.3">
      <c r="A12" s="42" t="s">
        <v>92</v>
      </c>
      <c r="B12" s="143">
        <f>(E12-F12)/F12</f>
        <v>0.3814930365700685</v>
      </c>
      <c r="C12" s="70">
        <f>E12-[1]UK!E12</f>
        <v>-20648</v>
      </c>
      <c r="D12" s="46">
        <f>F12-[1]UK!F12</f>
        <v>-15696</v>
      </c>
      <c r="E12" s="45">
        <f>SUM(E2:E11)</f>
        <v>85904</v>
      </c>
      <c r="F12" s="46">
        <f>SUM(F2:F11)</f>
        <v>62182</v>
      </c>
      <c r="G12" s="46">
        <f>SUM(G2:G11)</f>
        <v>57940</v>
      </c>
      <c r="H12" s="46">
        <f>SUM(H2:H11)</f>
        <v>60495</v>
      </c>
      <c r="I12" s="46">
        <f>SUM(I2:I11)</f>
        <v>64367</v>
      </c>
      <c r="J12" s="46">
        <f t="shared" ref="J12:O12" si="1">SUM(J2:J11)</f>
        <v>48422</v>
      </c>
      <c r="K12" s="46">
        <f t="shared" si="1"/>
        <v>31540</v>
      </c>
      <c r="L12" s="46">
        <f t="shared" si="1"/>
        <v>65200</v>
      </c>
      <c r="M12" s="46">
        <f t="shared" si="1"/>
        <v>60100</v>
      </c>
      <c r="N12" s="46">
        <f t="shared" si="1"/>
        <v>55600</v>
      </c>
      <c r="O12" s="46">
        <f t="shared" si="1"/>
        <v>26000</v>
      </c>
      <c r="P12" s="46">
        <f t="shared" ref="P12:U12" si="2">SUM(P2:P11)</f>
        <v>53400</v>
      </c>
      <c r="Q12" s="46">
        <f t="shared" si="2"/>
        <v>61000</v>
      </c>
      <c r="R12" s="46">
        <f t="shared" si="2"/>
        <v>58900</v>
      </c>
      <c r="S12" s="46">
        <f t="shared" si="2"/>
        <v>44900</v>
      </c>
      <c r="T12" s="46">
        <f t="shared" si="2"/>
        <v>45900</v>
      </c>
      <c r="U12" s="35">
        <f t="shared" si="2"/>
        <v>40000</v>
      </c>
    </row>
    <row r="13" spans="1:22" x14ac:dyDescent="0.25">
      <c r="B13" s="105"/>
      <c r="C13" s="105"/>
    </row>
    <row r="14" spans="1:22" ht="13.8" thickBot="1" x14ac:dyDescent="0.3">
      <c r="B14" s="106"/>
      <c r="C14" s="106"/>
      <c r="D14" s="3"/>
      <c r="E14" s="3"/>
      <c r="F14" s="3"/>
      <c r="G14" s="3"/>
      <c r="H14" s="145"/>
      <c r="I14" s="14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2" s="52" customFormat="1" ht="13.8" thickBot="1" x14ac:dyDescent="0.3">
      <c r="A15" s="53" t="s">
        <v>91</v>
      </c>
      <c r="B15" s="24" t="s">
        <v>176</v>
      </c>
      <c r="C15" s="49" t="s">
        <v>177</v>
      </c>
      <c r="D15" s="25" t="s">
        <v>173</v>
      </c>
      <c r="E15" s="115">
        <v>44986</v>
      </c>
      <c r="F15" s="25">
        <v>44621</v>
      </c>
      <c r="G15" s="25">
        <v>44256</v>
      </c>
      <c r="H15" s="25">
        <v>43891</v>
      </c>
      <c r="I15" s="25">
        <v>43525</v>
      </c>
      <c r="J15" s="25">
        <v>43160</v>
      </c>
      <c r="K15" s="25">
        <v>42795</v>
      </c>
      <c r="L15" s="25">
        <v>42430</v>
      </c>
      <c r="M15" s="25">
        <f>M1</f>
        <v>42064</v>
      </c>
      <c r="N15" s="25">
        <v>41699</v>
      </c>
      <c r="O15" s="25">
        <v>41334</v>
      </c>
      <c r="P15" s="25">
        <v>40969</v>
      </c>
      <c r="Q15" s="25">
        <v>40603</v>
      </c>
      <c r="R15" s="25">
        <v>40238</v>
      </c>
      <c r="S15" s="25">
        <v>39873</v>
      </c>
      <c r="T15" s="25">
        <v>39508</v>
      </c>
      <c r="U15" s="26">
        <v>39142</v>
      </c>
    </row>
    <row r="16" spans="1:22" s="52" customFormat="1" x14ac:dyDescent="0.25">
      <c r="A16" s="54" t="s">
        <v>7</v>
      </c>
      <c r="B16" s="107">
        <f>(E16-F16)/F16</f>
        <v>2.3477373256209595E-2</v>
      </c>
      <c r="C16" s="129">
        <f>E16-[1]UK!E16</f>
        <v>-1509</v>
      </c>
      <c r="D16" s="57">
        <f>F16-[1]UK!F16</f>
        <v>-1502</v>
      </c>
      <c r="E16" s="56">
        <v>3008</v>
      </c>
      <c r="F16" s="57">
        <v>2939</v>
      </c>
      <c r="G16" s="57">
        <v>2708</v>
      </c>
      <c r="H16" s="57">
        <v>1470</v>
      </c>
      <c r="I16" s="57">
        <v>2779</v>
      </c>
      <c r="J16" s="57">
        <v>3641</v>
      </c>
      <c r="K16" s="57">
        <v>3750</v>
      </c>
      <c r="L16" s="57">
        <v>4600</v>
      </c>
      <c r="M16" s="57">
        <v>3500</v>
      </c>
      <c r="N16" s="57">
        <v>5400</v>
      </c>
      <c r="O16" s="57">
        <v>4500</v>
      </c>
      <c r="P16" s="57">
        <v>4600</v>
      </c>
      <c r="Q16" s="57">
        <v>5000</v>
      </c>
      <c r="R16" s="57">
        <v>8500</v>
      </c>
      <c r="S16" s="57">
        <v>3400</v>
      </c>
      <c r="T16" s="57">
        <v>2000</v>
      </c>
      <c r="U16" s="67">
        <v>3000</v>
      </c>
    </row>
    <row r="17" spans="1:21" s="52" customFormat="1" x14ac:dyDescent="0.25">
      <c r="A17" s="54" t="s">
        <v>93</v>
      </c>
      <c r="B17" s="107"/>
      <c r="C17" s="129">
        <f>E17-[1]UK!E17</f>
        <v>-174</v>
      </c>
      <c r="D17" s="57">
        <f>F17-[1]UK!F17</f>
        <v>0</v>
      </c>
      <c r="E17" s="56"/>
      <c r="F17" s="57"/>
      <c r="G17" s="57">
        <v>239</v>
      </c>
      <c r="H17" s="57">
        <v>0</v>
      </c>
      <c r="I17" s="57">
        <v>33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67">
        <v>0</v>
      </c>
    </row>
    <row r="18" spans="1:21" s="52" customFormat="1" ht="13.8" thickBot="1" x14ac:dyDescent="0.3">
      <c r="A18" s="58" t="s">
        <v>6</v>
      </c>
      <c r="B18" s="107">
        <f>(E18-F18)/F18</f>
        <v>-0.5</v>
      </c>
      <c r="C18" s="130">
        <f>E18-[1]UK!E18</f>
        <v>12</v>
      </c>
      <c r="D18" s="57">
        <f>F18-[1]UK!F18</f>
        <v>-12</v>
      </c>
      <c r="E18" s="56">
        <v>12</v>
      </c>
      <c r="F18" s="57">
        <v>24</v>
      </c>
      <c r="G18" s="57">
        <v>284</v>
      </c>
      <c r="H18" s="57">
        <v>105</v>
      </c>
      <c r="I18" s="57"/>
      <c r="J18" s="57">
        <v>0</v>
      </c>
      <c r="K18" s="60">
        <v>0</v>
      </c>
      <c r="L18" s="60">
        <v>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0</v>
      </c>
      <c r="S18" s="60">
        <v>0</v>
      </c>
      <c r="T18" s="60">
        <v>0</v>
      </c>
      <c r="U18" s="68">
        <v>0</v>
      </c>
    </row>
    <row r="19" spans="1:21" s="52" customFormat="1" ht="13.8" thickBot="1" x14ac:dyDescent="0.3">
      <c r="A19" s="61" t="s">
        <v>92</v>
      </c>
      <c r="B19" s="144">
        <f>(E19-F19)/F19</f>
        <v>1.9237259534255823E-2</v>
      </c>
      <c r="C19" s="70">
        <f>E19-[1]UK!E19</f>
        <v>-1671</v>
      </c>
      <c r="D19" s="80">
        <f>F19-[1]UK!F19</f>
        <v>-1514</v>
      </c>
      <c r="E19" s="63">
        <f t="shared" ref="E19:K19" si="3">SUM(E16:E18)</f>
        <v>3020</v>
      </c>
      <c r="F19" s="80">
        <f t="shared" si="3"/>
        <v>2963</v>
      </c>
      <c r="G19" s="80">
        <f t="shared" si="3"/>
        <v>3231</v>
      </c>
      <c r="H19" s="80">
        <f t="shared" si="3"/>
        <v>1575</v>
      </c>
      <c r="I19" s="80">
        <f t="shared" si="3"/>
        <v>2812</v>
      </c>
      <c r="J19" s="80">
        <f t="shared" si="3"/>
        <v>3641</v>
      </c>
      <c r="K19" s="80">
        <f t="shared" si="3"/>
        <v>3750</v>
      </c>
      <c r="L19" s="80">
        <v>4600</v>
      </c>
      <c r="M19" s="80">
        <f>SUM(M16:M18)</f>
        <v>3500</v>
      </c>
      <c r="N19" s="80">
        <f>SUM(N16:N18)</f>
        <v>5400</v>
      </c>
      <c r="O19" s="80">
        <f>SUM(O16:O18)</f>
        <v>4500</v>
      </c>
      <c r="P19" s="80">
        <f t="shared" ref="P19:U19" si="4">SUM(P16:P18)</f>
        <v>4600</v>
      </c>
      <c r="Q19" s="80">
        <f t="shared" si="4"/>
        <v>5000</v>
      </c>
      <c r="R19" s="80">
        <f t="shared" si="4"/>
        <v>8500</v>
      </c>
      <c r="S19" s="80">
        <f t="shared" si="4"/>
        <v>3400</v>
      </c>
      <c r="T19" s="64">
        <f t="shared" si="4"/>
        <v>2000</v>
      </c>
      <c r="U19" s="69">
        <f t="shared" si="4"/>
        <v>3000</v>
      </c>
    </row>
    <row r="20" spans="1:21" s="52" customFormat="1" x14ac:dyDescent="0.25">
      <c r="A20" s="52" t="s">
        <v>166</v>
      </c>
      <c r="I20" s="57"/>
    </row>
    <row r="21" spans="1:21" s="52" customFormat="1" x14ac:dyDescent="0.25"/>
    <row r="22" spans="1:21" s="52" customFormat="1" ht="14.4" x14ac:dyDescent="0.3">
      <c r="E22" s="57"/>
      <c r="F22" s="57"/>
      <c r="I22" s="102"/>
      <c r="J22" s="102"/>
    </row>
    <row r="23" spans="1:21" ht="14.4" x14ac:dyDescent="0.3">
      <c r="I23" s="102"/>
      <c r="J23" s="102"/>
    </row>
    <row r="24" spans="1:21" ht="14.4" x14ac:dyDescent="0.3">
      <c r="G24" s="1"/>
      <c r="H24" s="1"/>
      <c r="I24" s="102"/>
      <c r="J24" s="102"/>
    </row>
    <row r="25" spans="1:21" ht="14.4" x14ac:dyDescent="0.3">
      <c r="I25" s="102"/>
      <c r="J25" s="102"/>
    </row>
    <row r="26" spans="1:21" ht="14.4" x14ac:dyDescent="0.3">
      <c r="I26" s="102"/>
      <c r="J26" s="102"/>
    </row>
    <row r="27" spans="1:21" ht="14.4" x14ac:dyDescent="0.3">
      <c r="I27" s="102"/>
      <c r="J27" s="102"/>
    </row>
    <row r="28" spans="1:21" ht="14.4" x14ac:dyDescent="0.3">
      <c r="I28" s="102"/>
      <c r="J28" s="102"/>
    </row>
    <row r="29" spans="1:21" ht="14.4" x14ac:dyDescent="0.3">
      <c r="I29" s="102"/>
      <c r="J29" s="102"/>
    </row>
    <row r="30" spans="1:21" ht="14.4" x14ac:dyDescent="0.3">
      <c r="I30" s="102"/>
      <c r="J30" s="102"/>
    </row>
    <row r="31" spans="1:21" ht="14.4" x14ac:dyDescent="0.3">
      <c r="I31" s="102"/>
      <c r="J31" s="102"/>
    </row>
    <row r="32" spans="1:21" ht="14.4" x14ac:dyDescent="0.3">
      <c r="I32" s="102"/>
      <c r="J32" s="102"/>
    </row>
    <row r="33" spans="9:10" ht="14.4" x14ac:dyDescent="0.3">
      <c r="I33" s="102"/>
      <c r="J33" s="102"/>
    </row>
    <row r="34" spans="9:10" ht="14.4" x14ac:dyDescent="0.3">
      <c r="I34" s="103"/>
      <c r="J34" s="103"/>
    </row>
    <row r="35" spans="9:10" ht="14.4" x14ac:dyDescent="0.3">
      <c r="I35" s="104"/>
      <c r="J35" s="104"/>
    </row>
    <row r="36" spans="9:10" ht="14.4" x14ac:dyDescent="0.3">
      <c r="I36" s="102"/>
      <c r="J36" s="102"/>
    </row>
    <row r="37" spans="9:10" ht="14.4" x14ac:dyDescent="0.3">
      <c r="I37" s="102"/>
      <c r="J37" s="102"/>
    </row>
    <row r="38" spans="9:10" ht="14.4" x14ac:dyDescent="0.3">
      <c r="I38" s="102"/>
      <c r="J38" s="102"/>
    </row>
    <row r="39" spans="9:10" ht="14.4" x14ac:dyDescent="0.3">
      <c r="I39" s="102"/>
      <c r="J39" s="102"/>
    </row>
    <row r="40" spans="9:10" ht="14.4" x14ac:dyDescent="0.3">
      <c r="I40" s="102"/>
      <c r="J40" s="102"/>
    </row>
  </sheetData>
  <pageMargins left="0.75" right="0.75" top="1" bottom="1" header="0.5" footer="0.5"/>
  <pageSetup paperSize="9" scale="66" fitToHeight="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9"/>
  <sheetViews>
    <sheetView zoomScaleNormal="100" workbookViewId="0"/>
  </sheetViews>
  <sheetFormatPr defaultColWidth="8.77734375" defaultRowHeight="13.2" x14ac:dyDescent="0.25"/>
  <cols>
    <col min="1" max="1" width="25" customWidth="1"/>
    <col min="2" max="2" width="10.6640625" customWidth="1"/>
    <col min="3" max="4" width="11.33203125" bestFit="1" customWidth="1"/>
    <col min="5" max="10" width="11.33203125" customWidth="1"/>
    <col min="11" max="19" width="10.109375" bestFit="1" customWidth="1"/>
    <col min="20" max="21" width="10.109375" style="3" bestFit="1" customWidth="1"/>
    <col min="22" max="23" width="8.77734375" customWidth="1"/>
    <col min="24" max="24" width="12.109375" bestFit="1" customWidth="1"/>
    <col min="25" max="25" width="10.33203125" bestFit="1" customWidth="1"/>
  </cols>
  <sheetData>
    <row r="1" spans="1:23" ht="13.8" thickBot="1" x14ac:dyDescent="0.3">
      <c r="A1" s="23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3" x14ac:dyDescent="0.25">
      <c r="A2" s="20" t="s">
        <v>11</v>
      </c>
      <c r="B2" s="27">
        <f>(E2-F2)/F2</f>
        <v>0.60780902677104509</v>
      </c>
      <c r="C2" s="50">
        <f>E2-[1]US!E2</f>
        <v>-530.64319870563259</v>
      </c>
      <c r="D2" s="1">
        <f>F2-[1]US!F2</f>
        <v>-424.96796989777749</v>
      </c>
      <c r="E2" s="114">
        <v>2218.5130241920806</v>
      </c>
      <c r="F2" s="1">
        <v>1379.8361542026601</v>
      </c>
      <c r="G2" s="1">
        <v>3056.529</v>
      </c>
      <c r="H2" s="1">
        <v>4707</v>
      </c>
      <c r="I2" s="1">
        <v>7203</v>
      </c>
      <c r="J2" s="1">
        <v>6403</v>
      </c>
      <c r="K2" s="38">
        <v>10500</v>
      </c>
      <c r="L2" s="1">
        <v>6289</v>
      </c>
      <c r="M2" s="1">
        <v>22220</v>
      </c>
      <c r="N2" s="1">
        <v>9242</v>
      </c>
      <c r="O2" s="1">
        <v>18904</v>
      </c>
      <c r="P2" s="1">
        <v>15016</v>
      </c>
      <c r="Q2" s="1">
        <v>31709.618874773139</v>
      </c>
      <c r="R2" s="1">
        <v>25116.152450090744</v>
      </c>
      <c r="S2" s="1">
        <v>31080.762250453721</v>
      </c>
      <c r="T2" s="38">
        <v>28050.816696914702</v>
      </c>
      <c r="U2" s="65">
        <v>23420.145190562613</v>
      </c>
    </row>
    <row r="3" spans="1:23" x14ac:dyDescent="0.25">
      <c r="A3" s="20" t="s">
        <v>33</v>
      </c>
      <c r="B3" s="27">
        <f t="shared" ref="B3:B27" si="0">(E3-F3)/F3</f>
        <v>0.23156098456620111</v>
      </c>
      <c r="C3" s="50">
        <f>E3-[1]US!E3</f>
        <v>-560.1339602335629</v>
      </c>
      <c r="D3" s="1">
        <f>F3-[1]US!F3</f>
        <v>-390.84784464144354</v>
      </c>
      <c r="E3" s="114">
        <v>2172.35274306666</v>
      </c>
      <c r="F3" s="1">
        <v>1763.90188572906</v>
      </c>
      <c r="G3" s="1">
        <v>2920.7530000000002</v>
      </c>
      <c r="H3" s="1">
        <v>1906</v>
      </c>
      <c r="I3" s="1">
        <v>3316</v>
      </c>
      <c r="J3" s="1">
        <v>2306</v>
      </c>
      <c r="K3" s="1">
        <v>1429</v>
      </c>
      <c r="L3" s="1">
        <v>4211</v>
      </c>
      <c r="M3" s="1">
        <v>2630</v>
      </c>
      <c r="N3" s="1">
        <v>3621</v>
      </c>
      <c r="O3" s="1">
        <v>400</v>
      </c>
      <c r="P3" s="1">
        <v>1906</v>
      </c>
      <c r="Q3" s="1">
        <v>2572.5952813067152</v>
      </c>
      <c r="R3" s="1">
        <v>2401.0889292196007</v>
      </c>
      <c r="S3" s="1">
        <v>2896.5517241379312</v>
      </c>
      <c r="T3" s="38">
        <v>2667.8765880217784</v>
      </c>
      <c r="U3" s="65">
        <v>1543.557168784029</v>
      </c>
    </row>
    <row r="4" spans="1:23" x14ac:dyDescent="0.25">
      <c r="A4" s="20" t="s">
        <v>170</v>
      </c>
      <c r="B4" s="27">
        <f t="shared" si="0"/>
        <v>0.55308321670157023</v>
      </c>
      <c r="C4" s="50">
        <f>E4-[1]US!E4</f>
        <v>-9371.7753755806625</v>
      </c>
      <c r="D4" s="1">
        <f>F4-[1]US!F4</f>
        <v>-4022.3265025265719</v>
      </c>
      <c r="E4" s="114">
        <v>80079.552958569795</v>
      </c>
      <c r="F4" s="1">
        <v>51561.662696118961</v>
      </c>
      <c r="G4" s="1">
        <v>16293.388999999999</v>
      </c>
      <c r="H4" s="1">
        <v>305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38"/>
      <c r="U4" s="65"/>
    </row>
    <row r="5" spans="1:23" x14ac:dyDescent="0.25">
      <c r="A5" s="20" t="s">
        <v>49</v>
      </c>
      <c r="B5" s="27">
        <f t="shared" si="0"/>
        <v>0.15190227374780577</v>
      </c>
      <c r="C5" s="50">
        <f>E5-[1]US!E5</f>
        <v>-3606.8839724206846</v>
      </c>
      <c r="D5" s="1">
        <f>F5-[1]US!F5</f>
        <v>-2525.8037111656922</v>
      </c>
      <c r="E5" s="114">
        <v>10751.611529833021</v>
      </c>
      <c r="F5" s="1">
        <v>9333.7879218276012</v>
      </c>
      <c r="G5" s="1">
        <v>13512.985000000001</v>
      </c>
      <c r="H5" s="1">
        <v>7432</v>
      </c>
      <c r="I5" s="1">
        <v>15645</v>
      </c>
      <c r="J5" s="1">
        <v>14464</v>
      </c>
      <c r="K5" s="1">
        <v>9890</v>
      </c>
      <c r="L5" s="1">
        <v>14502</v>
      </c>
      <c r="M5" s="1">
        <v>14730</v>
      </c>
      <c r="N5" s="1">
        <v>17246</v>
      </c>
      <c r="O5" s="1">
        <v>2020</v>
      </c>
      <c r="P5" s="1">
        <v>15683</v>
      </c>
      <c r="Q5" s="1">
        <v>14997.277676950998</v>
      </c>
      <c r="R5" s="1">
        <v>23458.25771324864</v>
      </c>
      <c r="S5" s="1">
        <v>17569.872958257714</v>
      </c>
      <c r="T5" s="38">
        <v>18713.248638838475</v>
      </c>
      <c r="U5" s="65">
        <v>23115.24500907441</v>
      </c>
      <c r="W5" s="3"/>
    </row>
    <row r="6" spans="1:23" x14ac:dyDescent="0.25">
      <c r="A6" s="40" t="s">
        <v>12</v>
      </c>
      <c r="B6" s="27">
        <f t="shared" si="0"/>
        <v>-2.6570473200636911E-2</v>
      </c>
      <c r="C6" s="50">
        <f>E6-[1]US!E6</f>
        <v>-25566.83281809531</v>
      </c>
      <c r="D6" s="1">
        <f>F6-[1]US!F6</f>
        <v>-31036.816606012639</v>
      </c>
      <c r="E6" s="114">
        <v>138949.38070766674</v>
      </c>
      <c r="F6" s="1">
        <v>142742.10601000814</v>
      </c>
      <c r="G6" s="1">
        <v>180316.19500000001</v>
      </c>
      <c r="H6" s="1">
        <v>186322</v>
      </c>
      <c r="I6" s="1">
        <v>153536</v>
      </c>
      <c r="J6" s="1">
        <v>168572</v>
      </c>
      <c r="K6" s="1">
        <v>140025</v>
      </c>
      <c r="L6" s="1">
        <v>124571</v>
      </c>
      <c r="M6" s="1">
        <v>151040</v>
      </c>
      <c r="N6" s="1">
        <v>115976</v>
      </c>
      <c r="O6" s="1">
        <v>187723</v>
      </c>
      <c r="P6" s="1">
        <v>110431</v>
      </c>
      <c r="Q6" s="1">
        <v>137243.1941923775</v>
      </c>
      <c r="R6" s="1">
        <v>103418.33030852994</v>
      </c>
      <c r="S6" s="1">
        <v>142178.76588021778</v>
      </c>
      <c r="T6" s="38">
        <v>90441.0163339383</v>
      </c>
      <c r="U6" s="65">
        <v>92346.642468239559</v>
      </c>
    </row>
    <row r="7" spans="1:23" x14ac:dyDescent="0.25">
      <c r="A7" s="20" t="s">
        <v>9</v>
      </c>
      <c r="B7" s="27">
        <f t="shared" si="0"/>
        <v>0.14846440719152307</v>
      </c>
      <c r="C7" s="50">
        <f>E7-[1]US!E7</f>
        <v>-39880.596855128155</v>
      </c>
      <c r="D7" s="1">
        <f>F7-[1]US!F7</f>
        <v>-46162.319569384883</v>
      </c>
      <c r="E7" s="114">
        <v>248686.79045860193</v>
      </c>
      <c r="F7" s="1">
        <v>216538.52648924958</v>
      </c>
      <c r="G7" s="1">
        <v>238119.99100000001</v>
      </c>
      <c r="H7" s="1">
        <v>301241</v>
      </c>
      <c r="I7" s="1">
        <v>244606</v>
      </c>
      <c r="J7" s="1">
        <v>265263</v>
      </c>
      <c r="K7" s="1">
        <v>246016</v>
      </c>
      <c r="L7" s="1">
        <v>181701</v>
      </c>
      <c r="M7" s="1">
        <v>245959</v>
      </c>
      <c r="N7" s="1">
        <v>178271</v>
      </c>
      <c r="O7" s="1">
        <v>182178</v>
      </c>
      <c r="P7" s="1">
        <v>161883</v>
      </c>
      <c r="Q7" s="1">
        <v>139911.07078039928</v>
      </c>
      <c r="R7" s="1">
        <v>120568.96551724138</v>
      </c>
      <c r="S7" s="1">
        <v>120549.90925589837</v>
      </c>
      <c r="T7" s="38">
        <v>97053.539019963704</v>
      </c>
      <c r="U7" s="65">
        <v>76758.620689655174</v>
      </c>
      <c r="W7" s="3"/>
    </row>
    <row r="8" spans="1:23" x14ac:dyDescent="0.25">
      <c r="A8" s="20" t="s">
        <v>3</v>
      </c>
      <c r="B8" s="27">
        <f t="shared" si="0"/>
        <v>-0.17828308398291004</v>
      </c>
      <c r="C8" s="50">
        <f>E8-[1]US!E8</f>
        <v>-9141.4692928403892</v>
      </c>
      <c r="D8" s="1">
        <f>F8-[1]US!F8</f>
        <v>-10436.757643638222</v>
      </c>
      <c r="E8" s="114">
        <v>46503.863737923908</v>
      </c>
      <c r="F8" s="1">
        <v>56593.533407260082</v>
      </c>
      <c r="G8" s="1">
        <v>55853.654000000002</v>
      </c>
      <c r="H8" s="1">
        <v>100083</v>
      </c>
      <c r="I8" s="1">
        <v>56025</v>
      </c>
      <c r="J8" s="1">
        <v>91032</v>
      </c>
      <c r="K8" s="1">
        <v>82819</v>
      </c>
      <c r="L8" s="1">
        <v>96558</v>
      </c>
      <c r="M8" s="1">
        <v>153498</v>
      </c>
      <c r="N8" s="1">
        <v>123961</v>
      </c>
      <c r="O8" s="1">
        <v>141855</v>
      </c>
      <c r="P8" s="1">
        <v>123485</v>
      </c>
      <c r="Q8" s="1">
        <v>132860.25408348459</v>
      </c>
      <c r="R8" s="1">
        <v>127009.98185117968</v>
      </c>
      <c r="S8" s="1">
        <v>168057.16878402903</v>
      </c>
      <c r="T8" s="38">
        <v>127181.48820326678</v>
      </c>
      <c r="U8" s="65">
        <v>101474.59165154265</v>
      </c>
      <c r="W8" s="3"/>
    </row>
    <row r="9" spans="1:23" x14ac:dyDescent="0.25">
      <c r="A9" s="40" t="s">
        <v>17</v>
      </c>
      <c r="B9" s="27">
        <f t="shared" si="0"/>
        <v>-0.3282957312043514</v>
      </c>
      <c r="C9" s="50">
        <f>E9-[1]US!E9</f>
        <v>-18203.934588209057</v>
      </c>
      <c r="D9" s="1">
        <f>F9-[1]US!F9</f>
        <v>-19958.615848204994</v>
      </c>
      <c r="E9" s="114">
        <v>127986.68543253053</v>
      </c>
      <c r="F9" s="1">
        <v>190540.22935124103</v>
      </c>
      <c r="G9" s="1">
        <v>139586.79</v>
      </c>
      <c r="H9" s="1">
        <v>183950</v>
      </c>
      <c r="I9" s="1">
        <v>141474</v>
      </c>
      <c r="J9" s="1">
        <v>228389</v>
      </c>
      <c r="K9" s="38">
        <v>125409</v>
      </c>
      <c r="L9" s="38">
        <v>178900</v>
      </c>
      <c r="M9" s="38">
        <v>169525</v>
      </c>
      <c r="N9" s="38">
        <v>162760</v>
      </c>
      <c r="O9" s="38">
        <v>124838</v>
      </c>
      <c r="P9" s="38">
        <v>125924</v>
      </c>
      <c r="Q9" s="38">
        <v>122112.5226860254</v>
      </c>
      <c r="R9" s="38">
        <v>107858.43920145191</v>
      </c>
      <c r="S9" s="38">
        <v>173469.14700544465</v>
      </c>
      <c r="T9" s="38">
        <v>111421.96007259528</v>
      </c>
      <c r="U9" s="65">
        <v>131240.4718693285</v>
      </c>
      <c r="W9" s="3"/>
    </row>
    <row r="10" spans="1:23" ht="14.4" x14ac:dyDescent="0.3">
      <c r="A10" s="40" t="s">
        <v>159</v>
      </c>
      <c r="B10" s="27">
        <f t="shared" si="0"/>
        <v>-0.20592855577370375</v>
      </c>
      <c r="C10" s="50">
        <f>E10-[1]US!E10</f>
        <v>-20099.782865643589</v>
      </c>
      <c r="D10" s="1">
        <f>F10-[1]US!F10</f>
        <v>-17679.482925349992</v>
      </c>
      <c r="E10" s="114">
        <v>105467.9552389848</v>
      </c>
      <c r="F10" s="1">
        <v>132819.22679104464</v>
      </c>
      <c r="G10" s="1">
        <v>141461.18299999999</v>
      </c>
      <c r="H10" s="1">
        <v>123561</v>
      </c>
      <c r="I10" s="1">
        <v>96615</v>
      </c>
      <c r="J10" s="1">
        <v>82609</v>
      </c>
      <c r="K10" s="38">
        <v>43582</v>
      </c>
      <c r="L10" s="38">
        <v>42610</v>
      </c>
      <c r="M10" s="38">
        <v>22410</v>
      </c>
      <c r="N10" s="38">
        <v>12406</v>
      </c>
      <c r="O10" s="38">
        <v>1963</v>
      </c>
      <c r="P10" s="38"/>
      <c r="Q10" s="38"/>
      <c r="R10" s="38"/>
      <c r="S10" s="38"/>
      <c r="T10" s="112"/>
      <c r="U10" s="113"/>
      <c r="W10" s="3"/>
    </row>
    <row r="11" spans="1:23" x14ac:dyDescent="0.25">
      <c r="A11" s="20" t="s">
        <v>10</v>
      </c>
      <c r="B11" s="27">
        <f t="shared" si="0"/>
        <v>0.7075589851325147</v>
      </c>
      <c r="C11" s="50">
        <f>E11-[1]US!E11</f>
        <v>-490.33153759935362</v>
      </c>
      <c r="D11" s="1">
        <f>F11-[1]US!F11</f>
        <v>-99.921863186720884</v>
      </c>
      <c r="E11" s="114">
        <v>1610.3898983957399</v>
      </c>
      <c r="F11" s="1">
        <v>943.09474074815989</v>
      </c>
      <c r="G11" s="1">
        <v>2022.6320000000001</v>
      </c>
      <c r="H11" s="1">
        <v>1887</v>
      </c>
      <c r="I11" s="1">
        <v>1029</v>
      </c>
      <c r="J11" s="1">
        <v>1696</v>
      </c>
      <c r="K11" s="1">
        <v>3564</v>
      </c>
      <c r="L11" s="1">
        <v>2744</v>
      </c>
      <c r="M11" s="1">
        <v>3907</v>
      </c>
      <c r="N11" s="1">
        <v>7184</v>
      </c>
      <c r="O11" s="1">
        <v>591</v>
      </c>
      <c r="P11" s="1">
        <v>5507</v>
      </c>
      <c r="Q11" s="1">
        <v>990.92558983666061</v>
      </c>
      <c r="R11" s="1">
        <v>5145.1905626134303</v>
      </c>
      <c r="S11" s="1">
        <v>4573.5027223230491</v>
      </c>
      <c r="T11" s="38">
        <v>3544.4646098003632</v>
      </c>
      <c r="U11" s="65">
        <v>4440.1088929219604</v>
      </c>
      <c r="W11" s="3"/>
    </row>
    <row r="12" spans="1:23" x14ac:dyDescent="0.25">
      <c r="A12" s="20" t="s">
        <v>27</v>
      </c>
      <c r="B12" s="27"/>
      <c r="C12" s="50">
        <f>E12-[1]US!E12</f>
        <v>0</v>
      </c>
      <c r="D12" s="1">
        <f>F12-[1]US!F12</f>
        <v>0</v>
      </c>
      <c r="E12" s="114"/>
      <c r="F12" s="1"/>
      <c r="G12" s="1"/>
      <c r="H12" s="1"/>
      <c r="I12" s="1">
        <v>7451</v>
      </c>
      <c r="J12" s="1">
        <v>6060</v>
      </c>
      <c r="K12" s="1">
        <v>8347</v>
      </c>
      <c r="L12" s="1">
        <v>5946</v>
      </c>
      <c r="M12" s="1">
        <v>14788</v>
      </c>
      <c r="N12" s="1">
        <v>12825</v>
      </c>
      <c r="O12" s="1">
        <v>6613</v>
      </c>
      <c r="P12" s="1">
        <v>8366</v>
      </c>
      <c r="Q12" s="1">
        <v>8365.6987295825766</v>
      </c>
      <c r="R12" s="1">
        <v>8823.0490018148812</v>
      </c>
      <c r="S12" s="1">
        <v>10042.649727767695</v>
      </c>
      <c r="T12" s="38">
        <v>3963.7023593466424</v>
      </c>
      <c r="U12" s="65">
        <v>6193.2849364791291</v>
      </c>
    </row>
    <row r="13" spans="1:23" x14ac:dyDescent="0.25">
      <c r="A13" s="20" t="s">
        <v>50</v>
      </c>
      <c r="B13" s="27">
        <f t="shared" si="0"/>
        <v>0.49804261423064289</v>
      </c>
      <c r="C13" s="50">
        <f>E13-[1]US!E13</f>
        <v>-212.45540862943164</v>
      </c>
      <c r="D13" s="1">
        <f>F13-[1]US!F13</f>
        <v>-197.10039972037657</v>
      </c>
      <c r="E13" s="114">
        <v>955.00154046066007</v>
      </c>
      <c r="F13" s="1">
        <v>637.49958204702</v>
      </c>
      <c r="G13" s="1">
        <v>1146.0440000000001</v>
      </c>
      <c r="H13" s="1">
        <v>762</v>
      </c>
      <c r="I13" s="1">
        <v>2039</v>
      </c>
      <c r="J13" s="1">
        <v>0</v>
      </c>
      <c r="K13" s="1">
        <v>2153</v>
      </c>
      <c r="L13" s="1">
        <v>4002</v>
      </c>
      <c r="M13" s="1">
        <v>2687</v>
      </c>
      <c r="N13" s="1">
        <v>4154</v>
      </c>
      <c r="O13" s="1">
        <v>57</v>
      </c>
      <c r="P13" s="1">
        <v>4326</v>
      </c>
      <c r="Q13" s="1">
        <v>1543.557168784029</v>
      </c>
      <c r="R13" s="1">
        <v>8537.2050816696919</v>
      </c>
      <c r="S13" s="1">
        <v>3010.8892921960073</v>
      </c>
      <c r="T13" s="38">
        <v>1410.1633393829402</v>
      </c>
      <c r="U13" s="65">
        <v>2515.4264972776768</v>
      </c>
    </row>
    <row r="14" spans="1:23" x14ac:dyDescent="0.25">
      <c r="A14" s="20" t="s">
        <v>51</v>
      </c>
      <c r="B14" s="27">
        <f t="shared" si="0"/>
        <v>-0.20702976908071746</v>
      </c>
      <c r="C14" s="50">
        <f>E14-[1]US!E14</f>
        <v>-3004.7047210407345</v>
      </c>
      <c r="D14" s="1">
        <f>F14-[1]US!F14</f>
        <v>-3833.8942530171043</v>
      </c>
      <c r="E14" s="114">
        <v>11515.913766098281</v>
      </c>
      <c r="F14" s="1">
        <v>14522.504524221542</v>
      </c>
      <c r="G14" s="1">
        <v>13986.8</v>
      </c>
      <c r="H14" s="1">
        <v>16312</v>
      </c>
      <c r="I14" s="1">
        <v>18713</v>
      </c>
      <c r="J14" s="1">
        <v>17875</v>
      </c>
      <c r="K14" s="1">
        <v>12177</v>
      </c>
      <c r="L14" s="1">
        <v>28661</v>
      </c>
      <c r="M14" s="1">
        <v>22334</v>
      </c>
      <c r="N14" s="1">
        <v>23287</v>
      </c>
      <c r="O14" s="1">
        <v>6460</v>
      </c>
      <c r="P14" s="1">
        <v>16598</v>
      </c>
      <c r="Q14" s="1">
        <v>12424.682395644282</v>
      </c>
      <c r="R14" s="1">
        <v>30718.693284936478</v>
      </c>
      <c r="S14" s="1">
        <v>21609.800362976406</v>
      </c>
      <c r="T14" s="38">
        <v>19647.005444646096</v>
      </c>
      <c r="U14" s="65">
        <v>16998.185117967332</v>
      </c>
      <c r="W14" s="3"/>
    </row>
    <row r="15" spans="1:23" x14ac:dyDescent="0.25">
      <c r="A15" s="40" t="s">
        <v>52</v>
      </c>
      <c r="B15" s="27">
        <f t="shared" si="0"/>
        <v>7.5560897435897348E-2</v>
      </c>
      <c r="C15" s="50">
        <f>E15-[1]US!E15</f>
        <v>-336.91480466442891</v>
      </c>
      <c r="D15" s="1">
        <f>F15-[1]US!F15</f>
        <v>-104.28451460163802</v>
      </c>
      <c r="E15" s="114">
        <v>511.43991213084001</v>
      </c>
      <c r="F15" s="1">
        <v>475.50995331840005</v>
      </c>
      <c r="G15" s="1">
        <v>581.673</v>
      </c>
      <c r="H15" s="1">
        <v>781</v>
      </c>
      <c r="I15" s="1">
        <v>1277</v>
      </c>
      <c r="J15" s="1">
        <v>1658</v>
      </c>
      <c r="K15" s="1">
        <v>1162</v>
      </c>
      <c r="L15" s="1">
        <v>838</v>
      </c>
      <c r="M15" s="1">
        <v>877</v>
      </c>
      <c r="N15" s="1">
        <v>1334</v>
      </c>
      <c r="O15" s="1">
        <v>991</v>
      </c>
      <c r="P15" s="1">
        <v>3259</v>
      </c>
      <c r="Q15" s="1">
        <v>2477.3139745916515</v>
      </c>
      <c r="R15" s="1">
        <v>2744.1016333938296</v>
      </c>
      <c r="S15" s="1">
        <v>3353.9019963702358</v>
      </c>
      <c r="T15" s="38">
        <v>4268.602540834846</v>
      </c>
      <c r="U15" s="65">
        <v>2591.6515426497276</v>
      </c>
    </row>
    <row r="16" spans="1:23" x14ac:dyDescent="0.25">
      <c r="A16" s="20" t="s">
        <v>53</v>
      </c>
      <c r="B16" s="27">
        <f t="shared" si="0"/>
        <v>-0.2695896714815289</v>
      </c>
      <c r="C16" s="50">
        <f>E16-[1]US!E16</f>
        <v>-105.31326209675933</v>
      </c>
      <c r="D16" s="1">
        <f>F16-[1]US!F16</f>
        <v>66.201806401877093</v>
      </c>
      <c r="E16" s="114">
        <v>544.28362845779998</v>
      </c>
      <c r="F16" s="1">
        <v>745.17515320710004</v>
      </c>
      <c r="G16" s="1">
        <v>655.19200000000001</v>
      </c>
      <c r="H16" s="1">
        <v>362</v>
      </c>
      <c r="I16" s="1">
        <v>438</v>
      </c>
      <c r="J16" s="1">
        <v>0</v>
      </c>
      <c r="K16" s="1">
        <v>0</v>
      </c>
      <c r="L16" s="1">
        <v>0</v>
      </c>
      <c r="M16" s="1">
        <v>0</v>
      </c>
      <c r="N16" s="1">
        <v>114</v>
      </c>
      <c r="O16" s="1">
        <v>515</v>
      </c>
      <c r="P16" s="1">
        <v>762</v>
      </c>
      <c r="Q16" s="1">
        <v>1448.2758620689656</v>
      </c>
      <c r="R16" s="1">
        <v>38.112522686025407</v>
      </c>
      <c r="S16" s="1">
        <v>2439.2014519056261</v>
      </c>
      <c r="T16" s="38">
        <v>171.50635208711435</v>
      </c>
      <c r="U16" s="65">
        <v>171.50635208711435</v>
      </c>
      <c r="W16" s="3"/>
    </row>
    <row r="17" spans="1:23" x14ac:dyDescent="0.25">
      <c r="A17" s="20" t="s">
        <v>54</v>
      </c>
      <c r="B17" s="27"/>
      <c r="C17" s="50">
        <f>E17-[1]US!E17</f>
        <v>0</v>
      </c>
      <c r="D17" s="1">
        <f>F17-[1]US!F17</f>
        <v>0</v>
      </c>
      <c r="E17" s="114"/>
      <c r="F17" s="1"/>
      <c r="G17" s="1"/>
      <c r="H17" s="1">
        <v>0</v>
      </c>
      <c r="I17" s="1"/>
      <c r="J17" s="1">
        <v>0</v>
      </c>
      <c r="K17" s="1">
        <v>0</v>
      </c>
      <c r="L17" s="1">
        <v>0</v>
      </c>
      <c r="M17" s="1">
        <v>0</v>
      </c>
      <c r="N17" s="1">
        <v>324</v>
      </c>
      <c r="O17" s="1">
        <v>19</v>
      </c>
      <c r="P17" s="1">
        <v>0</v>
      </c>
      <c r="Q17" s="1">
        <v>0</v>
      </c>
      <c r="R17" s="1">
        <v>38.112522686025407</v>
      </c>
      <c r="S17" s="1">
        <v>0</v>
      </c>
      <c r="T17" s="38">
        <v>38.112522686025407</v>
      </c>
      <c r="U17" s="65">
        <v>38.112522686025407</v>
      </c>
      <c r="W17" s="3"/>
    </row>
    <row r="18" spans="1:23" x14ac:dyDescent="0.25">
      <c r="A18" s="40" t="s">
        <v>22</v>
      </c>
      <c r="B18" s="27">
        <f t="shared" si="0"/>
        <v>-0.16816260893014678</v>
      </c>
      <c r="C18" s="50">
        <f>E18-[1]US!E18</f>
        <v>-9322.281190532216</v>
      </c>
      <c r="D18" s="1">
        <f>F18-[1]US!F18</f>
        <v>-12282.368751686998</v>
      </c>
      <c r="E18" s="114">
        <v>86502.823707794349</v>
      </c>
      <c r="F18" s="1">
        <v>103990.06420778975</v>
      </c>
      <c r="G18" s="1">
        <v>84903.172000000006</v>
      </c>
      <c r="H18" s="1">
        <v>71461</v>
      </c>
      <c r="I18" s="1">
        <v>68603</v>
      </c>
      <c r="J18" s="1">
        <v>62867</v>
      </c>
      <c r="K18" s="38">
        <v>69822</v>
      </c>
      <c r="L18" s="38">
        <v>57740</v>
      </c>
      <c r="M18" s="38">
        <v>45678</v>
      </c>
      <c r="N18" s="38">
        <v>36226</v>
      </c>
      <c r="O18" s="38">
        <v>37141</v>
      </c>
      <c r="P18" s="38">
        <v>27613</v>
      </c>
      <c r="Q18" s="38">
        <v>32738.656987295824</v>
      </c>
      <c r="R18" s="38">
        <v>34205.989110707807</v>
      </c>
      <c r="S18" s="38">
        <v>26983.66606170599</v>
      </c>
      <c r="T18" s="38">
        <v>25840.290381125225</v>
      </c>
      <c r="U18" s="65">
        <v>14082.577132486389</v>
      </c>
      <c r="W18" s="3"/>
    </row>
    <row r="19" spans="1:23" x14ac:dyDescent="0.25">
      <c r="A19" s="40" t="s">
        <v>19</v>
      </c>
      <c r="B19" s="27">
        <f t="shared" si="0"/>
        <v>-0.1667168143805238</v>
      </c>
      <c r="C19" s="50">
        <f>E19-[1]US!E19</f>
        <v>-22165.736446428462</v>
      </c>
      <c r="D19" s="1">
        <f>F19-[1]US!F19</f>
        <v>-29405.813655904873</v>
      </c>
      <c r="E19" s="114">
        <v>194948.41236800165</v>
      </c>
      <c r="F19" s="1">
        <v>233952.17344158198</v>
      </c>
      <c r="G19" s="1">
        <v>265117.64399999997</v>
      </c>
      <c r="H19" s="1">
        <v>312427</v>
      </c>
      <c r="I19" s="1">
        <v>355132</v>
      </c>
      <c r="J19" s="1">
        <v>373255</v>
      </c>
      <c r="K19" s="38">
        <v>465602</v>
      </c>
      <c r="L19" s="38">
        <v>351226</v>
      </c>
      <c r="M19" s="38">
        <v>552403</v>
      </c>
      <c r="N19" s="38">
        <v>406565</v>
      </c>
      <c r="O19" s="38">
        <v>456207</v>
      </c>
      <c r="P19" s="38">
        <v>409062</v>
      </c>
      <c r="Q19" s="38">
        <v>352350.27223230491</v>
      </c>
      <c r="R19" s="38">
        <v>418970.96188747732</v>
      </c>
      <c r="S19" s="38">
        <v>413520.8711433757</v>
      </c>
      <c r="T19" s="38">
        <v>340535.39019963704</v>
      </c>
      <c r="U19" s="65">
        <v>395836.66061705991</v>
      </c>
      <c r="W19" s="3"/>
    </row>
    <row r="20" spans="1:23" x14ac:dyDescent="0.25">
      <c r="A20" s="20" t="s">
        <v>55</v>
      </c>
      <c r="B20" s="27">
        <f t="shared" si="0"/>
        <v>0.1316262173069023</v>
      </c>
      <c r="C20" s="50">
        <f>E20-[1]US!E20</f>
        <v>-832.56153765513091</v>
      </c>
      <c r="D20" s="1">
        <f>F20-[1]US!F20</f>
        <v>-401.26867574948346</v>
      </c>
      <c r="E20" s="114">
        <v>2676.4199648155204</v>
      </c>
      <c r="F20" s="1">
        <v>2365.1095422523804</v>
      </c>
      <c r="G20" s="1">
        <v>1944.1010000000001</v>
      </c>
      <c r="H20" s="1">
        <v>3259</v>
      </c>
      <c r="I20" s="1">
        <v>4211</v>
      </c>
      <c r="J20" s="1">
        <v>3697</v>
      </c>
      <c r="K20" s="1">
        <v>6689</v>
      </c>
      <c r="L20" s="1">
        <v>3983</v>
      </c>
      <c r="M20" s="1">
        <v>4955</v>
      </c>
      <c r="N20" s="1">
        <v>3564</v>
      </c>
      <c r="O20" s="1">
        <v>2668</v>
      </c>
      <c r="P20" s="1">
        <v>7508</v>
      </c>
      <c r="Q20" s="1">
        <v>2972.7767695099819</v>
      </c>
      <c r="R20" s="1">
        <v>4611.615245009074</v>
      </c>
      <c r="S20" s="1">
        <v>6803.0852994555353</v>
      </c>
      <c r="T20" s="38">
        <v>6078.9473684210525</v>
      </c>
      <c r="U20" s="65">
        <v>6803.0852994555353</v>
      </c>
      <c r="W20" s="3"/>
    </row>
    <row r="21" spans="1:23" x14ac:dyDescent="0.25">
      <c r="A21" s="20" t="s">
        <v>56</v>
      </c>
      <c r="B21" s="27">
        <f t="shared" si="0"/>
        <v>0.81529138924216382</v>
      </c>
      <c r="C21" s="50">
        <f>E21-[1]US!E21</f>
        <v>-148.27299545948085</v>
      </c>
      <c r="D21" s="1">
        <f>F21-[1]US!F21</f>
        <v>-18.59365843088824</v>
      </c>
      <c r="E21" s="114">
        <v>462.26959203810009</v>
      </c>
      <c r="F21" s="1">
        <v>254.65310681118001</v>
      </c>
      <c r="G21" s="1">
        <v>282.75700000000001</v>
      </c>
      <c r="H21" s="1">
        <v>438</v>
      </c>
      <c r="I21" s="1">
        <v>400</v>
      </c>
      <c r="J21" s="1">
        <v>743</v>
      </c>
      <c r="K21" s="1">
        <v>2401</v>
      </c>
      <c r="L21" s="1">
        <v>2477</v>
      </c>
      <c r="M21" s="1">
        <v>2230</v>
      </c>
      <c r="N21" s="1">
        <v>5393</v>
      </c>
      <c r="O21" s="1">
        <v>419</v>
      </c>
      <c r="P21" s="1">
        <v>3583</v>
      </c>
      <c r="Q21" s="1">
        <v>2972.7767695099819</v>
      </c>
      <c r="R21" s="1">
        <v>5202.3593466424682</v>
      </c>
      <c r="S21" s="1">
        <v>6078.9473684210525</v>
      </c>
      <c r="T21" s="38">
        <v>2382.0326678765882</v>
      </c>
      <c r="U21" s="65">
        <v>7317.6043557168787</v>
      </c>
    </row>
    <row r="22" spans="1:23" x14ac:dyDescent="0.25">
      <c r="A22" s="20" t="s">
        <v>35</v>
      </c>
      <c r="B22" s="27">
        <f t="shared" si="0"/>
        <v>8.0997016388731385E-2</v>
      </c>
      <c r="C22" s="50">
        <f>E22-[1]US!E22</f>
        <v>-34.558295484187511</v>
      </c>
      <c r="D22" s="1">
        <f>F22-[1]US!F22</f>
        <v>-12.859343688240642</v>
      </c>
      <c r="E22" s="114">
        <v>2436.5312896478399</v>
      </c>
      <c r="F22" s="1">
        <v>2253.9667110160203</v>
      </c>
      <c r="G22" s="1">
        <v>1880.681</v>
      </c>
      <c r="H22" s="1">
        <v>819</v>
      </c>
      <c r="I22" s="1">
        <v>2134</v>
      </c>
      <c r="J22" s="1">
        <v>2230</v>
      </c>
      <c r="K22" s="1">
        <v>896</v>
      </c>
      <c r="L22" s="1">
        <v>2725</v>
      </c>
      <c r="M22" s="1">
        <v>2687</v>
      </c>
      <c r="N22" s="1">
        <v>1429</v>
      </c>
      <c r="O22" s="1">
        <v>248</v>
      </c>
      <c r="P22" s="1">
        <v>2477</v>
      </c>
      <c r="Q22" s="1">
        <v>2267.6950998185116</v>
      </c>
      <c r="R22" s="1">
        <v>3353.9019963702358</v>
      </c>
      <c r="S22" s="1">
        <v>2267.6950998185116</v>
      </c>
      <c r="T22" s="38">
        <v>2286.7513611615245</v>
      </c>
      <c r="U22" s="65">
        <v>3715.9709618874772</v>
      </c>
    </row>
    <row r="23" spans="1:23" x14ac:dyDescent="0.25">
      <c r="A23" s="20" t="s">
        <v>21</v>
      </c>
      <c r="B23" s="27">
        <f t="shared" si="0"/>
        <v>-0.14991069150293451</v>
      </c>
      <c r="C23" s="50">
        <f>E23-[1]US!E23</f>
        <v>-94.16849756609723</v>
      </c>
      <c r="D23" s="1">
        <f>F23-[1]US!F23</f>
        <v>-48.141572597470343</v>
      </c>
      <c r="E23" s="114">
        <v>126.93601037501999</v>
      </c>
      <c r="F23" s="1">
        <v>149.32079383452</v>
      </c>
      <c r="G23" s="1">
        <v>133.81299999999999</v>
      </c>
      <c r="H23" s="1">
        <v>133</v>
      </c>
      <c r="I23" s="1">
        <v>267</v>
      </c>
      <c r="J23" s="1">
        <v>362</v>
      </c>
      <c r="K23" s="1">
        <v>267</v>
      </c>
      <c r="L23" s="1">
        <v>400</v>
      </c>
      <c r="M23" s="1">
        <v>591</v>
      </c>
      <c r="N23" s="1">
        <v>324</v>
      </c>
      <c r="O23" s="1">
        <v>305</v>
      </c>
      <c r="P23" s="1">
        <v>400</v>
      </c>
      <c r="Q23" s="1">
        <v>533.57531760435575</v>
      </c>
      <c r="R23" s="1">
        <v>609.80036297640652</v>
      </c>
      <c r="S23" s="1">
        <v>724.13793103448279</v>
      </c>
      <c r="T23" s="38">
        <v>495.4627949183303</v>
      </c>
      <c r="U23" s="65">
        <v>933.75680580762253</v>
      </c>
      <c r="W23" s="3"/>
    </row>
    <row r="24" spans="1:23" x14ac:dyDescent="0.25">
      <c r="A24" s="40" t="s">
        <v>57</v>
      </c>
      <c r="B24" s="27"/>
      <c r="C24" s="50">
        <f>E24-[1]US!E24</f>
        <v>0</v>
      </c>
      <c r="D24" s="1">
        <f>F24-[1]US!F24</f>
        <v>0</v>
      </c>
      <c r="E24" s="114"/>
      <c r="F24" s="1"/>
      <c r="G24" s="1"/>
      <c r="H24" s="1">
        <v>0</v>
      </c>
      <c r="I24" s="1"/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533.57531760435575</v>
      </c>
      <c r="S24" s="1">
        <v>76.225045372050815</v>
      </c>
      <c r="T24" s="38">
        <v>57.168784029038115</v>
      </c>
      <c r="U24" s="65">
        <v>57.168784029038115</v>
      </c>
    </row>
    <row r="25" spans="1:23" x14ac:dyDescent="0.25">
      <c r="A25" s="20" t="s">
        <v>58</v>
      </c>
      <c r="B25" s="27">
        <f t="shared" si="0"/>
        <v>-6.693394305760017E-2</v>
      </c>
      <c r="C25" s="50">
        <f>E25-[1]US!E25</f>
        <v>-62.467834011310174</v>
      </c>
      <c r="D25" s="1">
        <f>F25-[1]US!F25</f>
        <v>-96.949925978668375</v>
      </c>
      <c r="E25" s="114">
        <v>567.52570149660005</v>
      </c>
      <c r="F25" s="1">
        <v>608.23743107358007</v>
      </c>
      <c r="G25" s="1">
        <v>678.36500000000001</v>
      </c>
      <c r="H25" s="1">
        <v>191</v>
      </c>
      <c r="I25" s="1">
        <v>476</v>
      </c>
      <c r="J25" s="1">
        <v>19</v>
      </c>
      <c r="K25" s="1">
        <v>76</v>
      </c>
      <c r="L25" s="1">
        <v>152</v>
      </c>
      <c r="M25" s="1">
        <v>95</v>
      </c>
      <c r="N25" s="1">
        <v>0.1</v>
      </c>
      <c r="O25" s="1">
        <v>114</v>
      </c>
      <c r="P25" s="1">
        <v>267</v>
      </c>
      <c r="Q25" s="1">
        <v>323.95644283121595</v>
      </c>
      <c r="R25" s="1">
        <v>247.73139745916515</v>
      </c>
      <c r="S25" s="1">
        <v>95.281306715063522</v>
      </c>
      <c r="T25" s="38">
        <v>19.056261343012704</v>
      </c>
      <c r="U25" s="65">
        <v>171.50635208711435</v>
      </c>
      <c r="W25" s="3"/>
    </row>
    <row r="26" spans="1:23" ht="13.8" thickBot="1" x14ac:dyDescent="0.3">
      <c r="A26" s="20" t="s">
        <v>59</v>
      </c>
      <c r="B26" s="27">
        <f t="shared" si="0"/>
        <v>4.3971849617998077E-2</v>
      </c>
      <c r="C26" s="50">
        <f>E26-[1]US!E26</f>
        <v>-25001.838648636185</v>
      </c>
      <c r="D26" s="1">
        <f>F26-[1]US!F26</f>
        <v>-23702.962550055803</v>
      </c>
      <c r="E26" s="114">
        <f>95499.5825196798+20189</f>
        <v>115688.5825196798</v>
      </c>
      <c r="F26" s="1">
        <f>91243.8065392392+19572</f>
        <v>110815.8065392392</v>
      </c>
      <c r="G26" s="1">
        <f>74466.61+16145</f>
        <v>90611.61</v>
      </c>
      <c r="H26" s="1">
        <f>82190+16827</f>
        <v>99017</v>
      </c>
      <c r="I26" s="1">
        <f>56635+11434</f>
        <v>68069</v>
      </c>
      <c r="J26" s="1">
        <v>143856</v>
      </c>
      <c r="K26" s="1">
        <v>95053</v>
      </c>
      <c r="L26" s="1">
        <v>74986</v>
      </c>
      <c r="M26" s="1">
        <v>72547</v>
      </c>
      <c r="N26" s="1">
        <v>53605</v>
      </c>
      <c r="O26" s="1">
        <v>32739</v>
      </c>
      <c r="P26" s="1">
        <v>23877</v>
      </c>
      <c r="Q26" s="1">
        <v>26183.303085299456</v>
      </c>
      <c r="R26" s="1">
        <v>27555.353901996372</v>
      </c>
      <c r="S26" s="1">
        <v>26392.921960072596</v>
      </c>
      <c r="T26" s="38">
        <v>18980.036297640654</v>
      </c>
      <c r="U26" s="65">
        <v>19990.018148820327</v>
      </c>
      <c r="W26" s="3"/>
    </row>
    <row r="27" spans="1:23" ht="13.8" thickBot="1" x14ac:dyDescent="0.3">
      <c r="A27" s="39" t="s">
        <v>23</v>
      </c>
      <c r="B27" s="111">
        <f t="shared" si="0"/>
        <v>-7.3430371866869862E-2</v>
      </c>
      <c r="C27" s="70">
        <f>E27-[1]US!E27</f>
        <v>-188773.6581066607</v>
      </c>
      <c r="D27" s="46">
        <f>F27-[1]US!F27</f>
        <v>-202775.89597903867</v>
      </c>
      <c r="E27" s="45">
        <f>SUM(E2:E26)</f>
        <v>1181363.2357307614</v>
      </c>
      <c r="F27" s="46">
        <f>SUM(F2:F26)</f>
        <v>1274985.9264338226</v>
      </c>
      <c r="G27" s="46">
        <f>SUM(G2:G26)</f>
        <v>1255065.9530000004</v>
      </c>
      <c r="H27" s="46">
        <f>SUM(H2:H26)</f>
        <v>1417356</v>
      </c>
      <c r="I27" s="46">
        <f>SUM(I2:I26)</f>
        <v>1248659</v>
      </c>
      <c r="J27" s="46">
        <f t="shared" ref="J27:O27" si="1">SUM(J2:J26)</f>
        <v>1473356</v>
      </c>
      <c r="K27" s="46">
        <f t="shared" si="1"/>
        <v>1327879</v>
      </c>
      <c r="L27" s="46">
        <f t="shared" si="1"/>
        <v>1185222</v>
      </c>
      <c r="M27" s="46">
        <f t="shared" si="1"/>
        <v>1507791</v>
      </c>
      <c r="N27" s="46">
        <f t="shared" si="1"/>
        <v>1179811.1000000001</v>
      </c>
      <c r="O27" s="46">
        <f t="shared" si="1"/>
        <v>1204968</v>
      </c>
      <c r="P27" s="46">
        <f t="shared" ref="P27:U27" si="2">SUM(P2:P26)</f>
        <v>1067933</v>
      </c>
      <c r="Q27" s="46">
        <f t="shared" si="2"/>
        <v>1029000.0000000001</v>
      </c>
      <c r="R27" s="46">
        <f t="shared" si="2"/>
        <v>1061166.9691470054</v>
      </c>
      <c r="S27" s="46">
        <f t="shared" si="2"/>
        <v>1183774.9546279493</v>
      </c>
      <c r="T27" s="46">
        <f t="shared" si="2"/>
        <v>905248.63883847545</v>
      </c>
      <c r="U27" s="86">
        <f t="shared" si="2"/>
        <v>931755.89836660633</v>
      </c>
    </row>
    <row r="28" spans="1:23" x14ac:dyDescent="0.25">
      <c r="B28" s="36"/>
      <c r="C28" s="36"/>
      <c r="D28" s="36"/>
      <c r="E28" s="36"/>
      <c r="F28" s="36"/>
      <c r="G28" s="36"/>
      <c r="H28" s="36"/>
      <c r="I28" s="36"/>
      <c r="J28" s="36"/>
      <c r="K28" s="36"/>
    </row>
    <row r="29" spans="1:23" ht="13.8" thickBot="1" x14ac:dyDescent="0.3"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23" ht="13.8" thickBot="1" x14ac:dyDescent="0.3">
      <c r="A30" s="23" t="s">
        <v>25</v>
      </c>
      <c r="B30" s="24" t="s">
        <v>176</v>
      </c>
      <c r="C30" s="49" t="s">
        <v>177</v>
      </c>
      <c r="D30" s="25" t="s">
        <v>173</v>
      </c>
      <c r="E30" s="115">
        <v>44986</v>
      </c>
      <c r="F30" s="25">
        <v>44621</v>
      </c>
      <c r="G30" s="25">
        <v>44256</v>
      </c>
      <c r="H30" s="25">
        <v>43891</v>
      </c>
      <c r="I30" s="25">
        <v>43525</v>
      </c>
      <c r="J30" s="25">
        <v>43160</v>
      </c>
      <c r="K30" s="25">
        <v>42795</v>
      </c>
      <c r="L30" s="25">
        <v>42430</v>
      </c>
      <c r="M30" s="25">
        <f>M1</f>
        <v>42064</v>
      </c>
      <c r="N30" s="25">
        <v>41699</v>
      </c>
      <c r="O30" s="25">
        <v>41334</v>
      </c>
      <c r="P30" s="25">
        <v>40969</v>
      </c>
      <c r="Q30" s="25">
        <v>40603</v>
      </c>
      <c r="R30" s="25">
        <v>40238</v>
      </c>
      <c r="S30" s="25">
        <v>39873</v>
      </c>
      <c r="T30" s="25">
        <v>39508</v>
      </c>
      <c r="U30" s="26">
        <v>39142</v>
      </c>
    </row>
    <row r="31" spans="1:23" x14ac:dyDescent="0.25">
      <c r="A31" s="20" t="s">
        <v>41</v>
      </c>
      <c r="B31" s="27">
        <f t="shared" ref="B31:B41" si="3">(E31-F31)/F31</f>
        <v>2.9385323439827176E-2</v>
      </c>
      <c r="C31" s="50">
        <f>E31-[1]US!E31</f>
        <v>-18967</v>
      </c>
      <c r="D31" s="1">
        <f>F31-[1]US!F31</f>
        <v>-19663</v>
      </c>
      <c r="E31" s="114">
        <v>76717</v>
      </c>
      <c r="F31" s="1">
        <v>74527</v>
      </c>
      <c r="G31" s="1">
        <v>62142.9</v>
      </c>
      <c r="H31" s="1">
        <v>72422.899999999994</v>
      </c>
      <c r="I31" s="1">
        <v>83560</v>
      </c>
      <c r="J31" s="1">
        <v>81035</v>
      </c>
      <c r="K31" s="1">
        <v>67731</v>
      </c>
      <c r="L31" s="1">
        <v>64916.62</v>
      </c>
      <c r="M31" s="1">
        <v>84952.18</v>
      </c>
      <c r="N31" s="1">
        <v>81546.02</v>
      </c>
      <c r="O31" s="1">
        <v>72348.800000000003</v>
      </c>
      <c r="P31" s="1">
        <v>91117.26</v>
      </c>
      <c r="Q31" s="1">
        <v>76267.839999999997</v>
      </c>
      <c r="R31" s="1">
        <v>79752.759999999995</v>
      </c>
      <c r="S31" s="1">
        <v>59132.78</v>
      </c>
      <c r="T31" s="38">
        <v>65162.22</v>
      </c>
      <c r="U31" s="65">
        <v>45228.84</v>
      </c>
    </row>
    <row r="32" spans="1:23" x14ac:dyDescent="0.25">
      <c r="A32" s="20" t="s">
        <v>42</v>
      </c>
      <c r="B32" s="97">
        <f t="shared" si="3"/>
        <v>-0.18233886134381946</v>
      </c>
      <c r="C32" s="50">
        <f>E32-[1]US!E32</f>
        <v>-4248</v>
      </c>
      <c r="D32" s="1">
        <f>F32-[1]US!F32</f>
        <v>-7329</v>
      </c>
      <c r="E32" s="114">
        <v>9565</v>
      </c>
      <c r="F32" s="1">
        <v>11698</v>
      </c>
      <c r="G32" s="1">
        <v>12366.56</v>
      </c>
      <c r="H32" s="1">
        <v>8025.2</v>
      </c>
      <c r="I32" s="1">
        <v>21312</v>
      </c>
      <c r="J32" s="1">
        <v>11327</v>
      </c>
      <c r="K32" s="1">
        <v>18926</v>
      </c>
      <c r="L32" s="1">
        <v>15198.9</v>
      </c>
      <c r="M32" s="1">
        <v>12779.74</v>
      </c>
      <c r="N32" s="1">
        <v>15956.18</v>
      </c>
      <c r="O32" s="1">
        <v>7816.64</v>
      </c>
      <c r="P32" s="1">
        <v>21010.38</v>
      </c>
      <c r="Q32" s="1">
        <v>5310.44</v>
      </c>
      <c r="R32" s="1">
        <v>8843.26</v>
      </c>
      <c r="S32" s="1">
        <v>13479.04</v>
      </c>
      <c r="T32" s="38">
        <v>7077.16</v>
      </c>
      <c r="U32" s="65">
        <v>5602.12</v>
      </c>
    </row>
    <row r="33" spans="1:33" x14ac:dyDescent="0.25">
      <c r="A33" s="20" t="s">
        <v>43</v>
      </c>
      <c r="B33" s="97">
        <f t="shared" si="3"/>
        <v>-5.8823529411764705E-2</v>
      </c>
      <c r="C33" s="50">
        <f>E33-[1]US!E33</f>
        <v>-2296</v>
      </c>
      <c r="D33" s="1">
        <f>F33-[1]US!F33</f>
        <v>-2277</v>
      </c>
      <c r="E33" s="114">
        <v>8128</v>
      </c>
      <c r="F33" s="1">
        <v>8636</v>
      </c>
      <c r="G33" s="1">
        <v>5777.44</v>
      </c>
      <c r="H33" s="1">
        <v>8550.5</v>
      </c>
      <c r="I33" s="1">
        <v>8187</v>
      </c>
      <c r="J33" s="1">
        <v>7317</v>
      </c>
      <c r="K33" s="1">
        <v>7628</v>
      </c>
      <c r="L33" s="1">
        <v>4285.18</v>
      </c>
      <c r="M33" s="1">
        <v>8309.76</v>
      </c>
      <c r="N33" s="1">
        <v>6665.28</v>
      </c>
      <c r="O33" s="1">
        <v>5080.46</v>
      </c>
      <c r="P33" s="1">
        <v>6650.64</v>
      </c>
      <c r="Q33" s="1">
        <v>5133.72</v>
      </c>
      <c r="R33" s="1">
        <v>4761.82</v>
      </c>
      <c r="S33" s="1">
        <v>6075.8</v>
      </c>
      <c r="T33" s="38">
        <v>5878.5</v>
      </c>
      <c r="U33" s="65">
        <v>3591.96</v>
      </c>
    </row>
    <row r="34" spans="1:33" x14ac:dyDescent="0.25">
      <c r="A34" s="20" t="s">
        <v>44</v>
      </c>
      <c r="B34" s="97">
        <f t="shared" si="3"/>
        <v>-1</v>
      </c>
      <c r="C34" s="50">
        <f>E34-[1]US!E34</f>
        <v>-39</v>
      </c>
      <c r="D34" s="1">
        <f>F34-[1]US!F34</f>
        <v>-51</v>
      </c>
      <c r="E34" s="114">
        <v>0</v>
      </c>
      <c r="F34" s="1">
        <v>33</v>
      </c>
      <c r="G34" s="1">
        <v>4.92</v>
      </c>
      <c r="H34" s="1">
        <v>104.16</v>
      </c>
      <c r="I34" s="1">
        <v>255</v>
      </c>
      <c r="J34" s="1">
        <v>39</v>
      </c>
      <c r="K34" s="1">
        <v>220</v>
      </c>
      <c r="L34" s="1">
        <v>27.6</v>
      </c>
      <c r="M34" s="1">
        <v>200.26</v>
      </c>
      <c r="N34" s="1">
        <v>294.18</v>
      </c>
      <c r="O34" s="1">
        <v>146.97999999999999</v>
      </c>
      <c r="P34" s="1">
        <v>705.5</v>
      </c>
      <c r="Q34" s="1">
        <v>30.38</v>
      </c>
      <c r="R34" s="1">
        <v>200.72</v>
      </c>
      <c r="S34" s="1">
        <v>373.94</v>
      </c>
      <c r="T34" s="38">
        <v>197.08</v>
      </c>
      <c r="U34" s="65">
        <v>234.22</v>
      </c>
    </row>
    <row r="35" spans="1:33" x14ac:dyDescent="0.25">
      <c r="A35" s="20" t="s">
        <v>153</v>
      </c>
      <c r="B35" s="97"/>
      <c r="C35" s="50">
        <f>E35-[1]US!E35</f>
        <v>-7</v>
      </c>
      <c r="D35" s="1">
        <f>F35-[1]US!F35</f>
        <v>-16</v>
      </c>
      <c r="E35" s="114">
        <v>0</v>
      </c>
      <c r="F35" s="1">
        <v>0</v>
      </c>
      <c r="G35" s="1">
        <v>0</v>
      </c>
      <c r="H35" s="1">
        <v>0</v>
      </c>
      <c r="I35" s="1">
        <v>9</v>
      </c>
      <c r="J35" s="1">
        <v>13</v>
      </c>
      <c r="K35" s="1">
        <v>0</v>
      </c>
      <c r="L35" s="1">
        <v>1.84</v>
      </c>
      <c r="M35" s="1">
        <v>0</v>
      </c>
      <c r="N35" s="1">
        <v>0.57999999999999996</v>
      </c>
      <c r="O35" s="1">
        <v>6.94</v>
      </c>
      <c r="P35" s="1">
        <v>110.4</v>
      </c>
      <c r="Q35" s="1">
        <v>44.88</v>
      </c>
      <c r="R35" s="1"/>
      <c r="S35" s="1"/>
      <c r="T35" s="38"/>
      <c r="U35" s="65"/>
    </row>
    <row r="36" spans="1:33" x14ac:dyDescent="0.25">
      <c r="A36" s="20" t="s">
        <v>45</v>
      </c>
      <c r="B36" s="97">
        <f t="shared" si="3"/>
        <v>-1</v>
      </c>
      <c r="C36" s="50">
        <f>E36-[1]US!E36</f>
        <v>-6</v>
      </c>
      <c r="D36" s="1">
        <f>F36-[1]US!F36</f>
        <v>-25</v>
      </c>
      <c r="E36" s="114">
        <v>0</v>
      </c>
      <c r="F36" s="1">
        <v>3</v>
      </c>
      <c r="G36" s="1">
        <v>9</v>
      </c>
      <c r="H36" s="1">
        <v>4</v>
      </c>
      <c r="I36" s="1">
        <v>38</v>
      </c>
      <c r="J36" s="1">
        <v>47</v>
      </c>
      <c r="K36" s="1">
        <v>141</v>
      </c>
      <c r="L36" s="1">
        <v>0</v>
      </c>
      <c r="M36" s="1">
        <v>45.26</v>
      </c>
      <c r="N36" s="1">
        <v>79.040000000000006</v>
      </c>
      <c r="O36" s="1">
        <v>24.26</v>
      </c>
      <c r="P36" s="1">
        <v>79.02</v>
      </c>
      <c r="Q36" s="1">
        <v>5.6</v>
      </c>
      <c r="R36" s="1">
        <v>86.2</v>
      </c>
      <c r="S36" s="1">
        <v>0.84</v>
      </c>
      <c r="T36" s="38">
        <v>19.8</v>
      </c>
      <c r="U36" s="65">
        <v>40.82</v>
      </c>
    </row>
    <row r="37" spans="1:33" x14ac:dyDescent="0.25">
      <c r="A37" s="40" t="s">
        <v>165</v>
      </c>
      <c r="B37" s="97">
        <f t="shared" si="3"/>
        <v>-1</v>
      </c>
      <c r="C37" s="50">
        <f>E37-[1]US!E37</f>
        <v>-69</v>
      </c>
      <c r="D37" s="1">
        <f>F37-[1]US!F37</f>
        <v>-286</v>
      </c>
      <c r="E37" s="114">
        <v>0</v>
      </c>
      <c r="F37" s="1">
        <v>14</v>
      </c>
      <c r="G37" s="1">
        <v>0</v>
      </c>
      <c r="H37" s="1">
        <v>8</v>
      </c>
      <c r="I37" s="1">
        <v>47</v>
      </c>
      <c r="J37" s="1">
        <v>3</v>
      </c>
      <c r="K37" s="1">
        <v>29</v>
      </c>
      <c r="L37" s="1"/>
      <c r="M37" s="1"/>
      <c r="N37" s="1"/>
      <c r="O37" s="1"/>
      <c r="P37" s="1"/>
      <c r="Q37" s="1"/>
      <c r="R37" s="1"/>
      <c r="S37" s="1"/>
      <c r="T37" s="38"/>
      <c r="U37" s="65"/>
    </row>
    <row r="38" spans="1:33" x14ac:dyDescent="0.25">
      <c r="A38" s="20" t="s">
        <v>46</v>
      </c>
      <c r="B38" s="97"/>
      <c r="C38" s="50">
        <f>E38-[1]US!E38</f>
        <v>0</v>
      </c>
      <c r="D38" s="1">
        <f>F38-[1]US!F38</f>
        <v>0</v>
      </c>
      <c r="E38" s="114"/>
      <c r="F38" s="1"/>
      <c r="G38" s="1">
        <v>0</v>
      </c>
      <c r="H38" s="1">
        <v>0</v>
      </c>
      <c r="I38" s="1"/>
      <c r="J38" s="1"/>
      <c r="K38" s="1"/>
      <c r="L38" s="1">
        <v>0</v>
      </c>
      <c r="M38" s="1">
        <v>0</v>
      </c>
      <c r="N38" s="1">
        <v>0</v>
      </c>
      <c r="O38" s="1">
        <v>23.38</v>
      </c>
      <c r="P38" s="1">
        <v>57.74</v>
      </c>
      <c r="Q38" s="1">
        <v>0</v>
      </c>
      <c r="R38" s="1">
        <v>19.2</v>
      </c>
      <c r="S38" s="1">
        <v>42.48</v>
      </c>
      <c r="T38" s="38">
        <v>5.92</v>
      </c>
      <c r="U38" s="65">
        <v>15.86</v>
      </c>
    </row>
    <row r="39" spans="1:33" x14ac:dyDescent="0.25">
      <c r="A39" s="20" t="s">
        <v>48</v>
      </c>
      <c r="B39" s="97">
        <f t="shared" si="3"/>
        <v>1.8888888888888888</v>
      </c>
      <c r="C39" s="50">
        <f>E39-[1]US!E39</f>
        <v>-263</v>
      </c>
      <c r="D39" s="1">
        <f>F39-[1]US!F39</f>
        <v>0</v>
      </c>
      <c r="E39" s="114">
        <v>26</v>
      </c>
      <c r="F39" s="1">
        <v>9</v>
      </c>
      <c r="G39" s="1">
        <v>1</v>
      </c>
      <c r="H39" s="1">
        <v>0</v>
      </c>
      <c r="I39" s="1">
        <v>101</v>
      </c>
      <c r="J39" s="1">
        <v>51</v>
      </c>
      <c r="K39" s="1">
        <v>50</v>
      </c>
      <c r="L39" s="1">
        <v>34.4</v>
      </c>
      <c r="M39" s="1">
        <v>165.14</v>
      </c>
      <c r="N39" s="1">
        <v>44.16</v>
      </c>
      <c r="O39" s="1">
        <v>241.76</v>
      </c>
      <c r="P39" s="1">
        <v>12.56</v>
      </c>
      <c r="Q39" s="1">
        <v>30.86</v>
      </c>
      <c r="R39" s="1">
        <v>23.32</v>
      </c>
      <c r="S39" s="1">
        <v>303.98</v>
      </c>
      <c r="T39" s="38">
        <v>132.16</v>
      </c>
      <c r="U39" s="65">
        <v>374.68</v>
      </c>
    </row>
    <row r="40" spans="1:33" ht="13.8" thickBot="1" x14ac:dyDescent="0.3">
      <c r="A40" s="20" t="s">
        <v>47</v>
      </c>
      <c r="B40" s="97">
        <f t="shared" si="3"/>
        <v>2.6282051282051282</v>
      </c>
      <c r="C40" s="50">
        <f>E40-[1]US!E40</f>
        <v>-7119</v>
      </c>
      <c r="D40" s="1">
        <f>F40-[1]US!F40</f>
        <v>-7409</v>
      </c>
      <c r="E40" s="114">
        <v>2830</v>
      </c>
      <c r="F40" s="1">
        <v>780</v>
      </c>
      <c r="G40" s="1">
        <v>976</v>
      </c>
      <c r="H40" s="1">
        <v>74.92</v>
      </c>
      <c r="I40" s="1">
        <v>1090.82</v>
      </c>
      <c r="J40" s="1">
        <v>586</v>
      </c>
      <c r="K40" s="1">
        <v>469</v>
      </c>
      <c r="L40" s="1">
        <v>12</v>
      </c>
      <c r="M40" s="1">
        <v>394.1</v>
      </c>
      <c r="N40" s="1">
        <v>140.56</v>
      </c>
      <c r="O40" s="1">
        <v>251.26</v>
      </c>
      <c r="P40" s="1">
        <v>186.52</v>
      </c>
      <c r="Q40" s="1">
        <v>0</v>
      </c>
      <c r="R40" s="1">
        <v>0</v>
      </c>
      <c r="S40" s="1">
        <v>0</v>
      </c>
      <c r="T40" s="38">
        <v>3</v>
      </c>
      <c r="U40" s="65">
        <v>0</v>
      </c>
    </row>
    <row r="41" spans="1:33" ht="13.8" thickBot="1" x14ac:dyDescent="0.3">
      <c r="A41" s="39" t="s">
        <v>23</v>
      </c>
      <c r="B41" s="111">
        <f t="shared" si="3"/>
        <v>1.6363636363636365E-2</v>
      </c>
      <c r="C41" s="70">
        <f>E41-[1]US!E41</f>
        <v>-33014</v>
      </c>
      <c r="D41" s="46">
        <f>F41-[1]US!F41</f>
        <v>-37056</v>
      </c>
      <c r="E41" s="45">
        <f>SUM(E31:E40)</f>
        <v>97266</v>
      </c>
      <c r="F41" s="46">
        <f>SUM(F31:F40)</f>
        <v>95700</v>
      </c>
      <c r="G41" s="46">
        <f>SUM(G31:G40)</f>
        <v>81277.820000000007</v>
      </c>
      <c r="H41" s="46">
        <f t="shared" ref="H41:M41" si="4">SUM(H31:H40)</f>
        <v>89189.68</v>
      </c>
      <c r="I41" s="46">
        <f t="shared" si="4"/>
        <v>114599.82</v>
      </c>
      <c r="J41" s="46">
        <f t="shared" si="4"/>
        <v>100418</v>
      </c>
      <c r="K41" s="46">
        <f t="shared" si="4"/>
        <v>95194</v>
      </c>
      <c r="L41" s="46">
        <f t="shared" si="4"/>
        <v>84476.540000000008</v>
      </c>
      <c r="M41" s="46">
        <f t="shared" si="4"/>
        <v>106846.43999999999</v>
      </c>
      <c r="N41" s="46">
        <f t="shared" ref="N41:U41" si="5">SUM(N31:N40)</f>
        <v>104726</v>
      </c>
      <c r="O41" s="46">
        <f t="shared" si="5"/>
        <v>85940.479999999996</v>
      </c>
      <c r="P41" s="46">
        <f t="shared" si="5"/>
        <v>119930.02</v>
      </c>
      <c r="Q41" s="46">
        <f t="shared" si="5"/>
        <v>86823.720000000016</v>
      </c>
      <c r="R41" s="46">
        <f t="shared" si="5"/>
        <v>93687.28</v>
      </c>
      <c r="S41" s="46">
        <f t="shared" si="5"/>
        <v>79408.86</v>
      </c>
      <c r="T41" s="46">
        <f t="shared" si="5"/>
        <v>78475.840000000011</v>
      </c>
      <c r="U41" s="86">
        <f t="shared" si="5"/>
        <v>55088.5</v>
      </c>
      <c r="W41" s="3"/>
    </row>
    <row r="42" spans="1:33" ht="18" x14ac:dyDescent="0.35">
      <c r="W42" s="7"/>
      <c r="X42" s="38"/>
      <c r="Y42" s="2"/>
      <c r="Z42" s="110"/>
      <c r="AA42" s="2"/>
      <c r="AB42" s="2"/>
      <c r="AC42" s="2"/>
      <c r="AD42" s="110"/>
      <c r="AE42" s="110"/>
      <c r="AF42" s="38"/>
      <c r="AG42" s="38"/>
    </row>
    <row r="48" spans="1:33" ht="17.399999999999999" x14ac:dyDescent="0.3">
      <c r="T48" s="5"/>
      <c r="U48" s="38"/>
      <c r="V48" s="1"/>
    </row>
    <row r="49" spans="20:22" ht="17.399999999999999" x14ac:dyDescent="0.3">
      <c r="T49" s="5"/>
      <c r="U49" s="38"/>
      <c r="V49" s="1"/>
    </row>
    <row r="50" spans="20:22" ht="17.399999999999999" x14ac:dyDescent="0.3">
      <c r="T50" s="5"/>
      <c r="U50" s="38"/>
      <c r="V50" s="1"/>
    </row>
    <row r="51" spans="20:22" ht="17.399999999999999" x14ac:dyDescent="0.3">
      <c r="T51" s="5"/>
      <c r="U51" s="38"/>
      <c r="V51" s="1"/>
    </row>
    <row r="52" spans="20:22" ht="17.399999999999999" x14ac:dyDescent="0.3">
      <c r="T52" s="5"/>
      <c r="U52" s="38"/>
      <c r="V52" s="1"/>
    </row>
    <row r="53" spans="20:22" ht="17.399999999999999" x14ac:dyDescent="0.3">
      <c r="T53" s="5"/>
      <c r="U53" s="38"/>
      <c r="V53" s="1"/>
    </row>
    <row r="54" spans="20:22" ht="17.399999999999999" x14ac:dyDescent="0.3">
      <c r="T54" s="5"/>
      <c r="U54" s="38"/>
      <c r="V54" s="1"/>
    </row>
    <row r="55" spans="20:22" ht="17.399999999999999" x14ac:dyDescent="0.3">
      <c r="T55" s="5"/>
      <c r="U55" s="38"/>
      <c r="V55" s="1"/>
    </row>
    <row r="56" spans="20:22" ht="17.399999999999999" x14ac:dyDescent="0.3">
      <c r="T56" s="5"/>
      <c r="U56" s="38"/>
      <c r="V56" s="1"/>
    </row>
    <row r="57" spans="20:22" ht="17.399999999999999" x14ac:dyDescent="0.3">
      <c r="T57" s="5"/>
      <c r="U57" s="38"/>
      <c r="V57" s="1"/>
    </row>
    <row r="58" spans="20:22" ht="17.399999999999999" x14ac:dyDescent="0.3">
      <c r="T58" s="6"/>
      <c r="U58" s="38"/>
      <c r="V58" s="1"/>
    </row>
    <row r="59" spans="20:22" ht="18" x14ac:dyDescent="0.35">
      <c r="T59" s="7"/>
      <c r="U59" s="2"/>
      <c r="V59" s="2"/>
    </row>
  </sheetData>
  <phoneticPr fontId="3" type="noConversion"/>
  <pageMargins left="0.75" right="0.75" top="1" bottom="1" header="0.5" footer="0.5"/>
  <pageSetup paperSize="9" scale="85" orientation="landscape"/>
  <headerFooter alignWithMargins="0"/>
  <ignoredErrors>
    <ignoredError sqref="E41:F4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Z81"/>
  <sheetViews>
    <sheetView tabSelected="1" zoomScaleNormal="100" workbookViewId="0"/>
  </sheetViews>
  <sheetFormatPr defaultColWidth="8.77734375" defaultRowHeight="13.2" x14ac:dyDescent="0.25"/>
  <cols>
    <col min="1" max="1" width="21.6640625" customWidth="1"/>
    <col min="2" max="2" width="10.6640625" customWidth="1"/>
    <col min="3" max="3" width="11.33203125" customWidth="1"/>
    <col min="4" max="4" width="11.33203125" bestFit="1" customWidth="1"/>
    <col min="5" max="10" width="11.33203125" customWidth="1"/>
    <col min="11" max="21" width="10.109375" bestFit="1" customWidth="1"/>
  </cols>
  <sheetData>
    <row r="1" spans="1:26" ht="13.8" thickBot="1" x14ac:dyDescent="0.3">
      <c r="A1" s="23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6" x14ac:dyDescent="0.25">
      <c r="A2" s="20" t="s">
        <v>8</v>
      </c>
      <c r="B2" s="27">
        <f>(E2-F2)/F2</f>
        <v>0.25934646091583741</v>
      </c>
      <c r="C2" s="50">
        <f>E2-'[1]Europe - country'!E2</f>
        <v>-13053.672356567084</v>
      </c>
      <c r="D2" s="1">
        <f>F2-'[1]Europe - country'!F2</f>
        <v>-10908.687269612565</v>
      </c>
      <c r="E2" s="114">
        <f>Austria!E$21</f>
        <v>87129.210526315786</v>
      </c>
      <c r="F2" s="1">
        <f>Austria!F$21</f>
        <v>69186.052631578932</v>
      </c>
      <c r="G2" s="1">
        <f>Austria!G$21</f>
        <v>69953.350000000006</v>
      </c>
      <c r="H2" s="1">
        <f>Austria!H$21</f>
        <v>61513.48</v>
      </c>
      <c r="I2" s="1">
        <f>Austria!I$21</f>
        <v>86742.300000000017</v>
      </c>
      <c r="J2" s="1">
        <f>Austria!J$21</f>
        <v>37479</v>
      </c>
      <c r="K2" s="1">
        <f>Austria!K$21</f>
        <v>19428.55</v>
      </c>
      <c r="L2" s="1">
        <f>Austria!L$21</f>
        <v>93192</v>
      </c>
      <c r="M2" s="1">
        <f>Austria!M$21</f>
        <v>98189.650000000009</v>
      </c>
      <c r="N2" s="1">
        <f>Austria!N$21</f>
        <v>92004.85</v>
      </c>
      <c r="O2" s="1">
        <f>Austria!O$21</f>
        <v>73697.849999999991</v>
      </c>
      <c r="P2" s="1">
        <f>Austria!P$21</f>
        <v>107909.04999999999</v>
      </c>
      <c r="Q2" s="1">
        <f>Austria!Q$21</f>
        <v>101889</v>
      </c>
      <c r="R2" s="1">
        <f>Austria!R$21</f>
        <v>103398</v>
      </c>
      <c r="S2" s="1">
        <f>Austria!S$21</f>
        <v>93606</v>
      </c>
      <c r="T2" s="1">
        <f>Austria!T$21</f>
        <v>86270</v>
      </c>
      <c r="U2" s="29">
        <f>Austria!U$21</f>
        <v>76243</v>
      </c>
      <c r="W2" s="3"/>
    </row>
    <row r="3" spans="1:26" x14ac:dyDescent="0.25">
      <c r="A3" s="20" t="s">
        <v>0</v>
      </c>
      <c r="B3" s="27">
        <f t="shared" ref="B3:B9" si="0">(E3-F3)/F3</f>
        <v>-0.4378615579681433</v>
      </c>
      <c r="C3" s="50">
        <f>E3-'[1]Europe - country'!E3</f>
        <v>-13370</v>
      </c>
      <c r="D3" s="1">
        <f>F3-'[1]Europe - country'!F3</f>
        <v>-14880</v>
      </c>
      <c r="E3" s="114">
        <f>Belgium!E$10</f>
        <v>56749</v>
      </c>
      <c r="F3" s="1">
        <f>Belgium!F$10</f>
        <v>100952</v>
      </c>
      <c r="G3" s="1">
        <f>Belgium!G$10</f>
        <v>61337</v>
      </c>
      <c r="H3" s="1">
        <f>Belgium!H$10</f>
        <v>90543</v>
      </c>
      <c r="I3" s="1">
        <f>Belgium!I$10</f>
        <v>99388</v>
      </c>
      <c r="J3" s="1">
        <f>Belgium!J$10</f>
        <v>12645</v>
      </c>
      <c r="K3" s="1">
        <f>Belgium!K$10</f>
        <v>59809</v>
      </c>
      <c r="L3" s="1">
        <f>Belgium!L$10</f>
        <v>113365</v>
      </c>
      <c r="M3" s="1">
        <f>Belgium!M$10</f>
        <v>129231</v>
      </c>
      <c r="N3" s="1">
        <f>Belgium!N$10</f>
        <v>73244</v>
      </c>
      <c r="O3" s="1">
        <f>Belgium!O$10</f>
        <v>62669</v>
      </c>
      <c r="P3" s="1">
        <f>Belgium!P$10</f>
        <v>77410</v>
      </c>
      <c r="Q3" s="1">
        <f>Belgium!Q$10</f>
        <v>78005.23052534298</v>
      </c>
      <c r="R3" s="1">
        <f>Belgium!R$10</f>
        <v>114013</v>
      </c>
      <c r="S3" s="1">
        <f>Belgium!S$10</f>
        <v>150900</v>
      </c>
      <c r="T3" s="1">
        <f>Belgium!T$10</f>
        <v>141800</v>
      </c>
      <c r="U3" s="29">
        <f>Belgium!U$10</f>
        <v>135400</v>
      </c>
    </row>
    <row r="4" spans="1:26" x14ac:dyDescent="0.25">
      <c r="A4" s="20" t="s">
        <v>31</v>
      </c>
      <c r="B4" s="27">
        <f t="shared" si="0"/>
        <v>3.1427324312527281E-2</v>
      </c>
      <c r="C4" s="50">
        <f>E4-'[1]Europe - country'!E4</f>
        <v>-8736</v>
      </c>
      <c r="D4" s="1">
        <f>F4-'[1]Europe - country'!F4</f>
        <v>-7226</v>
      </c>
      <c r="E4" s="114">
        <f>'Czech Republic'!E$12</f>
        <v>30719</v>
      </c>
      <c r="F4" s="1">
        <f>'Czech Republic'!F$12</f>
        <v>29783</v>
      </c>
      <c r="G4" s="1">
        <f>'Czech Republic'!G$12</f>
        <v>30370</v>
      </c>
      <c r="H4" s="1">
        <f>'Czech Republic'!H$12</f>
        <v>18133</v>
      </c>
      <c r="I4" s="1">
        <f>'Czech Republic'!I$12</f>
        <v>35399</v>
      </c>
      <c r="J4" s="1">
        <f>'Czech Republic'!J$12</f>
        <v>19897</v>
      </c>
      <c r="K4" s="1">
        <f>'Czech Republic'!K$12</f>
        <v>18961</v>
      </c>
      <c r="L4" s="1">
        <f>'Czech Republic'!L$12</f>
        <v>27711</v>
      </c>
      <c r="M4" s="1">
        <f>'Czech Republic'!M$12</f>
        <v>19360</v>
      </c>
      <c r="N4" s="1">
        <f>'Czech Republic'!N$12</f>
        <v>19892</v>
      </c>
      <c r="O4" s="1">
        <f>'Czech Republic'!O$12</f>
        <v>17683</v>
      </c>
      <c r="P4" s="1">
        <f>'Czech Republic'!P$12</f>
        <v>10899</v>
      </c>
      <c r="Q4" s="1">
        <f>'Czech Republic'!Q$12</f>
        <v>13638</v>
      </c>
      <c r="R4" s="1">
        <f>'Czech Republic'!R$12</f>
        <v>22699</v>
      </c>
      <c r="S4" s="1">
        <f>'Czech Republic'!S$12</f>
        <v>23435</v>
      </c>
      <c r="T4" s="1">
        <f>'Czech Republic'!T$12</f>
        <v>12192</v>
      </c>
      <c r="U4" s="29">
        <f>'Czech Republic'!U$12</f>
        <v>19499</v>
      </c>
      <c r="W4" s="3"/>
    </row>
    <row r="5" spans="1:26" x14ac:dyDescent="0.25">
      <c r="A5" s="20" t="s">
        <v>40</v>
      </c>
      <c r="B5" s="27">
        <f t="shared" si="0"/>
        <v>-0.17128874388254486</v>
      </c>
      <c r="C5" s="50">
        <f>E5-'[1]Europe - country'!E5</f>
        <v>-1787</v>
      </c>
      <c r="D5" s="1">
        <f>F5-'[1]Europe - country'!F5</f>
        <v>-1559</v>
      </c>
      <c r="E5" s="114">
        <f>Denmark!E$20</f>
        <v>4572</v>
      </c>
      <c r="F5" s="1">
        <f>Denmark!F$20</f>
        <v>5517</v>
      </c>
      <c r="G5" s="1">
        <f>Denmark!G$20</f>
        <v>2984</v>
      </c>
      <c r="H5" s="1">
        <f>Denmark!H$20</f>
        <v>2621</v>
      </c>
      <c r="I5" s="1">
        <f>Denmark!I$20</f>
        <v>7000</v>
      </c>
      <c r="J5" s="1">
        <f>Denmark!J$20</f>
        <v>2364</v>
      </c>
      <c r="K5" s="1">
        <f>Denmark!K$20</f>
        <v>5558</v>
      </c>
      <c r="L5" s="1">
        <f>Denmark!L$20</f>
        <v>5456</v>
      </c>
      <c r="M5" s="1">
        <f>Denmark!M$20</f>
        <v>3917</v>
      </c>
      <c r="N5" s="1">
        <f>Denmark!N$20</f>
        <v>3227</v>
      </c>
      <c r="O5" s="1">
        <f>Denmark!O$20</f>
        <v>2276</v>
      </c>
      <c r="P5" s="1">
        <f>Denmark!P$20</f>
        <v>2637</v>
      </c>
      <c r="Q5" s="1">
        <f>Denmark!Q$20</f>
        <v>1936</v>
      </c>
      <c r="R5" s="1">
        <f>Denmark!R$20</f>
        <v>3212</v>
      </c>
      <c r="S5" s="1">
        <f>Denmark!S$20</f>
        <v>3513</v>
      </c>
      <c r="T5" s="1">
        <f>Denmark!T$20</f>
        <v>1827</v>
      </c>
      <c r="U5" s="29">
        <f>Denmark!U$20</f>
        <v>1280</v>
      </c>
      <c r="W5" s="3"/>
    </row>
    <row r="6" spans="1:26" ht="14.4" x14ac:dyDescent="0.3">
      <c r="A6" s="40" t="s">
        <v>133</v>
      </c>
      <c r="B6" s="27">
        <f t="shared" si="0"/>
        <v>-0.11859678970886799</v>
      </c>
      <c r="C6" s="50">
        <f>E6-'[1]Europe - country'!E6</f>
        <v>-104107</v>
      </c>
      <c r="D6" s="1">
        <f>F6-'[1]Europe - country'!F6</f>
        <v>-80478</v>
      </c>
      <c r="E6" s="114">
        <f>France!E$26</f>
        <v>356428</v>
      </c>
      <c r="F6" s="1">
        <f>France!F$26</f>
        <v>404387</v>
      </c>
      <c r="G6" s="1">
        <f>France!G$26</f>
        <v>381899</v>
      </c>
      <c r="H6" s="1">
        <f>France!H$26</f>
        <v>446918</v>
      </c>
      <c r="I6" s="1">
        <f>France!I$26</f>
        <v>391058</v>
      </c>
      <c r="J6" s="1">
        <f>France!J$26</f>
        <v>354430</v>
      </c>
      <c r="K6" s="38">
        <f>France!K$26</f>
        <v>380280</v>
      </c>
      <c r="L6" s="38">
        <f>France!L$26</f>
        <v>368757</v>
      </c>
      <c r="M6" s="38">
        <f>France!M$26</f>
        <v>338304</v>
      </c>
      <c r="N6" s="38">
        <f>France!N$26</f>
        <v>439361</v>
      </c>
      <c r="O6" s="38">
        <f>France!O$26</f>
        <v>207885</v>
      </c>
      <c r="P6" s="38">
        <f>France!P$26</f>
        <v>357701</v>
      </c>
      <c r="Q6" s="38">
        <f>France!Q$26</f>
        <v>363259</v>
      </c>
      <c r="R6" s="38">
        <f>France!R$26</f>
        <v>389073</v>
      </c>
      <c r="S6" s="90"/>
      <c r="T6" s="90"/>
      <c r="U6" s="73"/>
      <c r="W6" s="3"/>
    </row>
    <row r="7" spans="1:26" x14ac:dyDescent="0.25">
      <c r="A7" s="20" t="s">
        <v>28</v>
      </c>
      <c r="B7" s="27">
        <f t="shared" si="0"/>
        <v>1.20000892199942E-3</v>
      </c>
      <c r="C7" s="50">
        <f>E7-'[1]Europe - country'!E7</f>
        <v>-57744</v>
      </c>
      <c r="D7" s="1">
        <f>F7-'[1]Europe - country'!F7</f>
        <v>-42991</v>
      </c>
      <c r="E7" s="114">
        <f>Germany!E$21</f>
        <v>224434</v>
      </c>
      <c r="F7" s="1">
        <f>Germany!F$21</f>
        <v>224165</v>
      </c>
      <c r="G7" s="1">
        <f>Germany!G$21</f>
        <v>197117</v>
      </c>
      <c r="H7" s="1">
        <f>Germany!H$21</f>
        <v>172043</v>
      </c>
      <c r="I7" s="1">
        <f>Germany!I$21</f>
        <v>252029</v>
      </c>
      <c r="J7" s="1">
        <f>Germany!J$21</f>
        <v>112786</v>
      </c>
      <c r="K7" s="1">
        <f>Germany!K$21</f>
        <v>241990</v>
      </c>
      <c r="L7" s="1">
        <f>Germany!L$21</f>
        <v>227370</v>
      </c>
      <c r="M7" s="1">
        <f>Germany!M$21</f>
        <v>239910</v>
      </c>
      <c r="N7" s="1">
        <f>Germany!N$21</f>
        <v>181220</v>
      </c>
      <c r="O7" s="1">
        <f>Germany!O$21</f>
        <v>211093</v>
      </c>
      <c r="P7" s="1">
        <f>Germany!P$21</f>
        <v>227696</v>
      </c>
      <c r="Q7" s="1">
        <f>Germany!Q$21</f>
        <v>174213</v>
      </c>
      <c r="R7" s="1">
        <f>Germany!R$21</f>
        <v>228822</v>
      </c>
      <c r="S7" s="1">
        <f>Germany!S$21</f>
        <v>197057</v>
      </c>
      <c r="T7" s="1">
        <f>Germany!T$21</f>
        <v>162163</v>
      </c>
      <c r="U7" s="29">
        <f>Germany!U$21</f>
        <v>176675</v>
      </c>
      <c r="W7" s="3"/>
    </row>
    <row r="8" spans="1:26" x14ac:dyDescent="0.25">
      <c r="A8" s="20" t="s">
        <v>16</v>
      </c>
      <c r="B8" s="27">
        <f t="shared" si="0"/>
        <v>-7.505396044270525E-2</v>
      </c>
      <c r="C8" s="50">
        <f>E8-'[1]Europe - country'!E8</f>
        <v>-196602</v>
      </c>
      <c r="D8" s="1">
        <f>F8-'[1]Europe - country'!F8</f>
        <v>-191150</v>
      </c>
      <c r="E8" s="114">
        <f>Italy!E$20</f>
        <v>765354</v>
      </c>
      <c r="F8" s="1">
        <f>Italy!F$20</f>
        <v>827458</v>
      </c>
      <c r="G8" s="1">
        <f>Italy!G$20</f>
        <v>831226.49</v>
      </c>
      <c r="H8" s="1">
        <f>Italy!H$20</f>
        <v>781037</v>
      </c>
      <c r="I8" s="1">
        <f>Italy!I$20</f>
        <v>913478.04999999993</v>
      </c>
      <c r="J8" s="1">
        <f>Italy!J$20</f>
        <v>504452.04000000004</v>
      </c>
      <c r="K8" s="1">
        <f>Italy!K$20</f>
        <v>933922.49</v>
      </c>
      <c r="L8" s="1">
        <f>Italy!L$20</f>
        <v>897466.41900000011</v>
      </c>
      <c r="M8" s="1">
        <f>Italy!M$20</f>
        <v>962008</v>
      </c>
      <c r="N8" s="1">
        <f>Italy!N$20</f>
        <v>825217</v>
      </c>
      <c r="O8" s="1">
        <f>Italy!O$20</f>
        <v>679633</v>
      </c>
      <c r="P8" s="1">
        <f>Italy!P$20</f>
        <v>831416</v>
      </c>
      <c r="Q8" s="1">
        <f>Italy!Q$20</f>
        <v>822832</v>
      </c>
      <c r="R8" s="1">
        <f>Italy!R$20</f>
        <v>840631.66000000015</v>
      </c>
      <c r="S8" s="1">
        <f>Italy!S$20</f>
        <v>835001.9</v>
      </c>
      <c r="T8" s="1">
        <f>Italy!T$20</f>
        <v>683634.29999999993</v>
      </c>
      <c r="U8" s="29">
        <f>Italy!U$20</f>
        <v>731399</v>
      </c>
    </row>
    <row r="9" spans="1:26" x14ac:dyDescent="0.25">
      <c r="A9" s="40" t="s">
        <v>32</v>
      </c>
      <c r="B9" s="27">
        <f t="shared" si="0"/>
        <v>-0.14525139664804471</v>
      </c>
      <c r="C9" s="50">
        <f>E9-'[1]Europe - country'!E9</f>
        <v>-297000</v>
      </c>
      <c r="D9" s="1">
        <f>F9-'[1]Europe - country'!F9</f>
        <v>-253000</v>
      </c>
      <c r="E9" s="114">
        <f>Poland!E$18</f>
        <v>765000</v>
      </c>
      <c r="F9" s="1">
        <f>Poland!F$18</f>
        <v>895000</v>
      </c>
      <c r="G9" s="1">
        <f>Poland!G$18</f>
        <v>837000</v>
      </c>
      <c r="H9" s="1">
        <f>Poland!H$18</f>
        <v>472000</v>
      </c>
      <c r="I9" s="1">
        <f>Poland!I$18</f>
        <v>940000</v>
      </c>
      <c r="J9" s="1">
        <f>Poland!J$18</f>
        <v>464000</v>
      </c>
      <c r="K9" s="38">
        <f>Poland!K$18</f>
        <v>799000</v>
      </c>
      <c r="L9" s="38">
        <f>Poland!L$18</f>
        <v>804000</v>
      </c>
      <c r="M9" s="38">
        <f>Poland!M$18</f>
        <v>724000</v>
      </c>
      <c r="N9" s="38">
        <f>Poland!N$18</f>
        <v>680000</v>
      </c>
      <c r="O9" s="38">
        <f>Poland!O$18</f>
        <v>606000</v>
      </c>
      <c r="P9" s="38">
        <f>Poland!P$18</f>
        <v>570000</v>
      </c>
      <c r="Q9" s="38">
        <f>Poland!Q$18</f>
        <v>250000</v>
      </c>
      <c r="R9" s="38">
        <f>Poland!R$18</f>
        <v>350000</v>
      </c>
      <c r="S9" s="38">
        <f>Poland!S$18</f>
        <v>290000</v>
      </c>
      <c r="T9" s="38">
        <f>Poland!T$18</f>
        <v>140000</v>
      </c>
      <c r="U9" s="65">
        <f>Poland!U$18</f>
        <v>200000</v>
      </c>
      <c r="W9" s="3"/>
    </row>
    <row r="10" spans="1:26" hidden="1" x14ac:dyDescent="0.25">
      <c r="A10" s="40" t="s">
        <v>148</v>
      </c>
      <c r="B10" s="27"/>
      <c r="C10" s="50">
        <f>E10-'[1]Europe - country'!E10</f>
        <v>0</v>
      </c>
      <c r="D10" s="1">
        <f>F10-'[1]Europe - country'!F10</f>
        <v>0</v>
      </c>
      <c r="E10" s="114"/>
      <c r="F10" s="1"/>
      <c r="G10" s="1"/>
      <c r="H10" s="1"/>
      <c r="I10" s="1"/>
      <c r="J10" s="1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65"/>
      <c r="W10" s="3"/>
    </row>
    <row r="11" spans="1:26" hidden="1" x14ac:dyDescent="0.25">
      <c r="A11" s="40" t="s">
        <v>175</v>
      </c>
      <c r="B11" s="27"/>
      <c r="C11" s="50">
        <f>E11-'[1]Europe - country'!E11</f>
        <v>0</v>
      </c>
      <c r="D11" s="1">
        <f>F11-'[1]Europe - country'!F11</f>
        <v>0</v>
      </c>
      <c r="E11" s="114"/>
      <c r="F11" s="1"/>
      <c r="G11" s="1"/>
      <c r="H11" s="1"/>
      <c r="I11" s="1"/>
      <c r="J11" s="1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65"/>
      <c r="W11" s="3"/>
      <c r="Y11" s="1"/>
      <c r="Z11" s="1"/>
    </row>
    <row r="12" spans="1:26" x14ac:dyDescent="0.25">
      <c r="A12" s="20" t="s">
        <v>37</v>
      </c>
      <c r="B12" s="27">
        <f>(E12-F12)/F12</f>
        <v>-0.36831805126256956</v>
      </c>
      <c r="C12" s="50">
        <f>E12-'[1]Europe - country'!E12</f>
        <v>-21716.006008700759</v>
      </c>
      <c r="D12" s="1">
        <f>F12-'[1]Europe - country'!F12</f>
        <v>-28375.051204528718</v>
      </c>
      <c r="E12" s="114">
        <f>Spain!E$8</f>
        <v>109744</v>
      </c>
      <c r="F12" s="1">
        <f>Spain!F$8</f>
        <v>173733</v>
      </c>
      <c r="G12" s="1">
        <f>Spain!G$8</f>
        <v>114025.17517666228</v>
      </c>
      <c r="H12" s="1">
        <f>Spain!H$8</f>
        <v>187735.02910016474</v>
      </c>
      <c r="I12" s="1">
        <f>Spain!I$8</f>
        <v>145639</v>
      </c>
      <c r="J12" s="1">
        <f>Spain!J$8</f>
        <v>124926</v>
      </c>
      <c r="K12" s="1">
        <f>Spain!K$8</f>
        <v>164353.753023898</v>
      </c>
      <c r="L12" s="1">
        <f>Spain!L$8</f>
        <v>120596</v>
      </c>
      <c r="M12" s="1">
        <f>Spain!M$8</f>
        <v>132506.12320955948</v>
      </c>
      <c r="N12" s="1">
        <f>Spain!N$8</f>
        <v>115046.14188662339</v>
      </c>
      <c r="O12" s="1">
        <f>Spain!O$8</f>
        <v>72847.894089658716</v>
      </c>
      <c r="P12" s="1">
        <f>Spain!P$8</f>
        <v>130655.65589442675</v>
      </c>
      <c r="Q12" s="1">
        <f>Spain!Q$8</f>
        <v>118934.96182055197</v>
      </c>
      <c r="R12" s="1">
        <f>Spain!R$8</f>
        <v>103668.30665292266</v>
      </c>
      <c r="S12" s="1">
        <f>Spain!S$8</f>
        <v>138189</v>
      </c>
      <c r="T12" s="1">
        <f>Spain!T$8</f>
        <v>107493</v>
      </c>
      <c r="U12" s="29">
        <f>Spain!U$8</f>
        <v>91046</v>
      </c>
      <c r="W12" s="3"/>
    </row>
    <row r="13" spans="1:26" x14ac:dyDescent="0.25">
      <c r="A13" s="20" t="s">
        <v>60</v>
      </c>
      <c r="B13" s="27">
        <f>(E13-F13)/F13</f>
        <v>-0.13133759759194807</v>
      </c>
      <c r="C13" s="50">
        <f>E13-'[1]Europe - country'!E13</f>
        <v>-8972</v>
      </c>
      <c r="D13" s="1">
        <f>F13-'[1]Europe - country'!F13</f>
        <v>-7490</v>
      </c>
      <c r="E13" s="114">
        <f>Switzerland!E$19</f>
        <v>36939</v>
      </c>
      <c r="F13" s="1">
        <f>Switzerland!F$19</f>
        <v>42524</v>
      </c>
      <c r="G13" s="1">
        <f>Switzerland!G$19</f>
        <v>41224</v>
      </c>
      <c r="H13" s="1">
        <f>Switzerland!H$19</f>
        <v>38197</v>
      </c>
      <c r="I13" s="1">
        <f>Switzerland!I$19</f>
        <v>46069</v>
      </c>
      <c r="J13" s="1">
        <f>Switzerland!J$19</f>
        <v>21798</v>
      </c>
      <c r="K13" s="1">
        <f>Switzerland!K$19</f>
        <v>40375</v>
      </c>
      <c r="L13" s="1">
        <f>Switzerland!L$19</f>
        <v>39827</v>
      </c>
      <c r="M13" s="1">
        <f>Switzerland!M$19</f>
        <v>40404</v>
      </c>
      <c r="N13" s="1">
        <f>Switzerland!N$19</f>
        <v>40410</v>
      </c>
      <c r="O13" s="1">
        <f>Switzerland!O$19</f>
        <v>39292</v>
      </c>
      <c r="P13" s="1">
        <f>Switzerland!P$19</f>
        <v>44267</v>
      </c>
      <c r="Q13" s="1">
        <f>Switzerland!Q$19</f>
        <v>42232</v>
      </c>
      <c r="R13" s="1">
        <f>Switzerland!R$19</f>
        <v>44810</v>
      </c>
      <c r="S13" s="1">
        <f>Switzerland!S$19</f>
        <v>38867</v>
      </c>
      <c r="T13" s="1">
        <f>Switzerland!T$19</f>
        <v>40687</v>
      </c>
      <c r="U13" s="29">
        <f>Switzerland!U$19</f>
        <v>39999</v>
      </c>
      <c r="W13" s="3"/>
    </row>
    <row r="14" spans="1:26" x14ac:dyDescent="0.25">
      <c r="A14" s="20" t="s">
        <v>1</v>
      </c>
      <c r="B14" s="27">
        <f>(E14-F14)/F14</f>
        <v>-9.9224330688406512E-2</v>
      </c>
      <c r="C14" s="50">
        <f>E14-'[1]Europe - country'!E14</f>
        <v>-19830</v>
      </c>
      <c r="D14" s="1">
        <f>F14-'[1]Europe - country'!F14</f>
        <v>-17264</v>
      </c>
      <c r="E14" s="114">
        <f>Netherlands!E$8</f>
        <v>91045</v>
      </c>
      <c r="F14" s="1">
        <f>Netherlands!F$8</f>
        <v>101074</v>
      </c>
      <c r="G14" s="1">
        <f>Netherlands!G$8</f>
        <v>78292</v>
      </c>
      <c r="H14" s="1">
        <f>Netherlands!H$8</f>
        <v>114698</v>
      </c>
      <c r="I14" s="1">
        <f>Netherlands!I$8</f>
        <v>102740.5</v>
      </c>
      <c r="J14" s="1">
        <f>Netherlands!J$8</f>
        <v>77817</v>
      </c>
      <c r="K14" s="1">
        <f>Netherlands!K$8</f>
        <v>132142</v>
      </c>
      <c r="L14" s="1">
        <f>Netherlands!L$8</f>
        <v>138013</v>
      </c>
      <c r="M14" s="1">
        <f>Netherlands!M$8</f>
        <v>146754</v>
      </c>
      <c r="N14" s="1">
        <f>Netherlands!N$8</f>
        <v>133102</v>
      </c>
      <c r="O14" s="1">
        <f>Netherlands!O$8</f>
        <v>117000</v>
      </c>
      <c r="P14" s="1">
        <f>Netherlands!P$8</f>
        <v>171000</v>
      </c>
      <c r="Q14" s="1">
        <f>Netherlands!Q$8</f>
        <v>120000</v>
      </c>
      <c r="R14" s="1">
        <f>Netherlands!R$8</f>
        <v>163000</v>
      </c>
      <c r="S14" s="1">
        <f>Netherlands!S$8</f>
        <v>157000</v>
      </c>
      <c r="T14" s="1">
        <f>Netherlands!T$8</f>
        <v>147000</v>
      </c>
      <c r="U14" s="29">
        <f>Netherlands!U$8</f>
        <v>141000</v>
      </c>
    </row>
    <row r="15" spans="1:26" ht="13.8" thickBot="1" x14ac:dyDescent="0.3">
      <c r="A15" s="20" t="s">
        <v>167</v>
      </c>
      <c r="B15" s="27">
        <f>(E15-F15)/F15</f>
        <v>0.3814930365700685</v>
      </c>
      <c r="C15" s="50">
        <f>E15-'[1]Europe - country'!E15</f>
        <v>-20648</v>
      </c>
      <c r="D15" s="1">
        <f>F15-'[1]Europe - country'!F15</f>
        <v>-15696</v>
      </c>
      <c r="E15" s="114">
        <f>UK!E$12</f>
        <v>85904</v>
      </c>
      <c r="F15" s="1">
        <f>UK!F$12</f>
        <v>62182</v>
      </c>
      <c r="G15" s="1">
        <f>UK!G$12</f>
        <v>57940</v>
      </c>
      <c r="H15" s="1">
        <f>UK!H$12</f>
        <v>60495</v>
      </c>
      <c r="I15" s="1">
        <f>UK!I$12</f>
        <v>64367</v>
      </c>
      <c r="J15" s="1">
        <f>UK!J$12</f>
        <v>48422</v>
      </c>
      <c r="K15" s="1">
        <f>UK!K$12</f>
        <v>31540</v>
      </c>
      <c r="L15" s="1">
        <f>UK!L$12</f>
        <v>65200</v>
      </c>
      <c r="M15" s="1">
        <f>UK!M$12</f>
        <v>60100</v>
      </c>
      <c r="N15" s="1">
        <f>UK!N$12</f>
        <v>55600</v>
      </c>
      <c r="O15" s="1">
        <f>UK!O$12</f>
        <v>26000</v>
      </c>
      <c r="P15" s="1">
        <f>UK!P$12</f>
        <v>53400</v>
      </c>
      <c r="Q15" s="1">
        <f>UK!Q$12</f>
        <v>61000</v>
      </c>
      <c r="R15" s="1">
        <f>UK!R$12</f>
        <v>58900</v>
      </c>
      <c r="S15" s="1">
        <f>UK!S$12</f>
        <v>44900</v>
      </c>
      <c r="T15" s="1">
        <f>UK!T$12</f>
        <v>45900</v>
      </c>
      <c r="U15" s="29">
        <f>UK!U$12</f>
        <v>40000</v>
      </c>
    </row>
    <row r="16" spans="1:26" ht="13.8" thickBot="1" x14ac:dyDescent="0.3">
      <c r="A16" s="23" t="s">
        <v>23</v>
      </c>
      <c r="B16" s="111">
        <f>(E16-F16)/F16</f>
        <v>-0.1096553518026735</v>
      </c>
      <c r="C16" s="70">
        <f>E16-'[1]Europe - country'!E16</f>
        <v>-763565.67836526828</v>
      </c>
      <c r="D16" s="141">
        <f>F16-'[1]Europe - country'!F16</f>
        <v>-671017.73847414134</v>
      </c>
      <c r="E16" s="45">
        <f>SUM(E2:E15)</f>
        <v>2614017.2105263155</v>
      </c>
      <c r="F16" s="46">
        <f>SUM(F2:F15)</f>
        <v>2935961.0526315789</v>
      </c>
      <c r="G16" s="46">
        <f>SUM(G2:G15)</f>
        <v>2703368.0151766622</v>
      </c>
      <c r="H16" s="46">
        <f>SUM(H2:H15)</f>
        <v>2445933.5091001648</v>
      </c>
      <c r="I16" s="46">
        <f>SUM(I2:I15)</f>
        <v>3083909.85</v>
      </c>
      <c r="J16" s="46">
        <f t="shared" ref="J16:O16" si="1">SUM(J2:J15)</f>
        <v>1781016.04</v>
      </c>
      <c r="K16" s="46">
        <f t="shared" si="1"/>
        <v>2827359.7930238983</v>
      </c>
      <c r="L16" s="46">
        <f t="shared" si="1"/>
        <v>2900953.4190000002</v>
      </c>
      <c r="M16" s="46">
        <f t="shared" si="1"/>
        <v>2894683.7732095593</v>
      </c>
      <c r="N16" s="46">
        <f t="shared" si="1"/>
        <v>2658323.9918866237</v>
      </c>
      <c r="O16" s="46">
        <f t="shared" si="1"/>
        <v>2116076.7440896588</v>
      </c>
      <c r="P16" s="46">
        <f t="shared" ref="P16:U16" si="2">SUM(P2:P15)</f>
        <v>2584990.7058944264</v>
      </c>
      <c r="Q16" s="46">
        <f t="shared" si="2"/>
        <v>2147939.1923458949</v>
      </c>
      <c r="R16" s="46">
        <f t="shared" si="2"/>
        <v>2422226.9666529228</v>
      </c>
      <c r="S16" s="46">
        <f t="shared" si="2"/>
        <v>1972468.9</v>
      </c>
      <c r="T16" s="46">
        <f t="shared" si="2"/>
        <v>1568966.2999999998</v>
      </c>
      <c r="U16" s="86">
        <f t="shared" si="2"/>
        <v>1652541</v>
      </c>
    </row>
    <row r="17" spans="1:26" x14ac:dyDescent="0.25">
      <c r="B17" s="36"/>
      <c r="C17" s="36"/>
      <c r="D17" s="1"/>
      <c r="E17" s="1"/>
      <c r="F17" s="1"/>
      <c r="G17" s="1"/>
      <c r="H17" s="36"/>
      <c r="I17" s="36"/>
      <c r="J17" s="36"/>
      <c r="K17" s="36"/>
      <c r="T17" s="1"/>
      <c r="U17" s="1"/>
    </row>
    <row r="18" spans="1:26" ht="13.8" thickBot="1" x14ac:dyDescent="0.3">
      <c r="B18" s="36"/>
      <c r="C18" s="36"/>
      <c r="D18" s="1"/>
      <c r="E18" s="1"/>
      <c r="F18" s="1"/>
      <c r="G18" s="1"/>
      <c r="H18" s="36"/>
      <c r="I18" s="36"/>
      <c r="J18" s="36"/>
      <c r="K18" s="36"/>
      <c r="T18" s="1"/>
      <c r="U18" s="1"/>
    </row>
    <row r="19" spans="1:26" ht="13.8" thickBot="1" x14ac:dyDescent="0.3">
      <c r="A19" s="23" t="s">
        <v>25</v>
      </c>
      <c r="B19" s="24" t="s">
        <v>176</v>
      </c>
      <c r="C19" s="49" t="s">
        <v>177</v>
      </c>
      <c r="D19" s="25" t="s">
        <v>173</v>
      </c>
      <c r="E19" s="115">
        <v>44986</v>
      </c>
      <c r="F19" s="25">
        <v>44621</v>
      </c>
      <c r="G19" s="25">
        <v>44256</v>
      </c>
      <c r="H19" s="25">
        <v>43891</v>
      </c>
      <c r="I19" s="25">
        <v>43525</v>
      </c>
      <c r="J19" s="25">
        <v>43160</v>
      </c>
      <c r="K19" s="25">
        <v>42795</v>
      </c>
      <c r="L19" s="25">
        <v>42430</v>
      </c>
      <c r="M19" s="25">
        <f>M1</f>
        <v>42064</v>
      </c>
      <c r="N19" s="25">
        <v>41699</v>
      </c>
      <c r="O19" s="25">
        <v>41334</v>
      </c>
      <c r="P19" s="25">
        <v>40969</v>
      </c>
      <c r="Q19" s="25">
        <v>40603</v>
      </c>
      <c r="R19" s="25">
        <v>40238</v>
      </c>
      <c r="S19" s="25">
        <v>39873</v>
      </c>
      <c r="T19" s="25">
        <v>39508</v>
      </c>
      <c r="U19" s="26">
        <v>39142</v>
      </c>
    </row>
    <row r="20" spans="1:26" x14ac:dyDescent="0.25">
      <c r="A20" s="20" t="s">
        <v>0</v>
      </c>
      <c r="B20" s="27">
        <f>(E20-F20)/F20</f>
        <v>-0.2354533795658576</v>
      </c>
      <c r="C20" s="50">
        <f>E20-'[1]Europe - country'!E20</f>
        <v>-35525</v>
      </c>
      <c r="D20" s="1">
        <f>F20-'[1]Europe - country'!F20</f>
        <v>-33566</v>
      </c>
      <c r="E20" s="114">
        <f>Belgium!E$20</f>
        <v>96576</v>
      </c>
      <c r="F20" s="1">
        <f>Belgium!F$20</f>
        <v>126318</v>
      </c>
      <c r="G20" s="1">
        <f>Belgium!G$20</f>
        <v>156114</v>
      </c>
      <c r="H20" s="1">
        <f>Belgium!H$20</f>
        <v>94476</v>
      </c>
      <c r="I20" s="1">
        <f>Belgium!I$20</f>
        <v>132875</v>
      </c>
      <c r="J20" s="1">
        <f>Belgium!J$20</f>
        <v>84957</v>
      </c>
      <c r="K20" s="1">
        <f>Belgium!K$20</f>
        <v>111713</v>
      </c>
      <c r="L20" s="1">
        <f>Belgium!L$20</f>
        <v>133080</v>
      </c>
      <c r="M20" s="1">
        <f>Belgium!M$20</f>
        <v>116965</v>
      </c>
      <c r="N20" s="1">
        <f>Belgium!N$20</f>
        <v>73112</v>
      </c>
      <c r="O20" s="1">
        <f>Belgium!O$20</f>
        <v>56000</v>
      </c>
      <c r="P20" s="1">
        <f>Belgium!P$20</f>
        <v>63450</v>
      </c>
      <c r="Q20" s="1">
        <f>Belgium!Q$20</f>
        <v>76000</v>
      </c>
      <c r="R20" s="1">
        <f>Belgium!R$20</f>
        <v>70800</v>
      </c>
      <c r="S20" s="1">
        <f>Belgium!S$20</f>
        <v>27600</v>
      </c>
      <c r="T20" s="1">
        <f>Belgium!T$20</f>
        <v>74900</v>
      </c>
      <c r="U20" s="29">
        <f>Belgium!U$20</f>
        <v>90000</v>
      </c>
    </row>
    <row r="21" spans="1:26" x14ac:dyDescent="0.25">
      <c r="A21" s="20" t="s">
        <v>31</v>
      </c>
      <c r="B21" s="27">
        <f>(E21-F21)/F21</f>
        <v>0.75555555555555554</v>
      </c>
      <c r="C21" s="50">
        <f>E21-'[1]Europe - country'!E21</f>
        <v>-444</v>
      </c>
      <c r="D21" s="1">
        <f>F21-'[1]Europe - country'!F21</f>
        <v>-479</v>
      </c>
      <c r="E21" s="114">
        <f>'Czech Republic'!E$21</f>
        <v>632</v>
      </c>
      <c r="F21" s="1">
        <f>'Czech Republic'!F$21</f>
        <v>360</v>
      </c>
      <c r="G21" s="1">
        <f>'Czech Republic'!G$21</f>
        <v>1534</v>
      </c>
      <c r="H21" s="1">
        <f>'Czech Republic'!H$21</f>
        <v>1291</v>
      </c>
      <c r="I21" s="1">
        <f>'Czech Republic'!I$21</f>
        <v>1402</v>
      </c>
      <c r="J21" s="1">
        <f>'Czech Republic'!J$21</f>
        <v>948</v>
      </c>
      <c r="K21" s="1">
        <f>'Czech Republic'!K$21</f>
        <v>711</v>
      </c>
      <c r="L21" s="1">
        <f>'Czech Republic'!L$21</f>
        <v>919</v>
      </c>
      <c r="M21" s="1">
        <f>'Czech Republic'!M$21</f>
        <v>108</v>
      </c>
      <c r="N21" s="1">
        <f>'Czech Republic'!N$21</f>
        <v>1334</v>
      </c>
      <c r="O21" s="1">
        <f>'Czech Republic'!O$21</f>
        <v>4</v>
      </c>
      <c r="P21" s="1">
        <f>'Czech Republic'!P$21</f>
        <v>185</v>
      </c>
      <c r="Q21" s="1">
        <f>'Czech Republic'!Q$21</f>
        <v>42</v>
      </c>
      <c r="R21" s="1">
        <f>'Czech Republic'!R$21</f>
        <v>20</v>
      </c>
      <c r="S21" s="1">
        <f>'Czech Republic'!S$21</f>
        <v>0</v>
      </c>
      <c r="T21" s="1">
        <f>'Czech Republic'!T$21</f>
        <v>0</v>
      </c>
      <c r="U21" s="29">
        <f>'Czech Republic'!U$21</f>
        <v>0</v>
      </c>
    </row>
    <row r="22" spans="1:26" x14ac:dyDescent="0.25">
      <c r="A22" s="20" t="s">
        <v>40</v>
      </c>
      <c r="B22" s="27"/>
      <c r="C22" s="50">
        <f>E22-'[1]Europe - country'!E22</f>
        <v>-93</v>
      </c>
      <c r="D22" s="1">
        <f>F22-'[1]Europe - country'!F22</f>
        <v>0</v>
      </c>
      <c r="E22" s="114">
        <f>Denmark!E$27</f>
        <v>0</v>
      </c>
      <c r="F22" s="1">
        <f>Denmark!F$27</f>
        <v>0</v>
      </c>
      <c r="G22" s="1">
        <f>Denmark!G$27</f>
        <v>19</v>
      </c>
      <c r="H22" s="1">
        <f>Denmark!H$27</f>
        <v>30</v>
      </c>
      <c r="I22" s="1">
        <f>Denmark!I$27</f>
        <v>260</v>
      </c>
      <c r="J22" s="1">
        <f>Denmark!J$27</f>
        <v>0</v>
      </c>
      <c r="K22" s="1">
        <f>Denmark!K$27</f>
        <v>22</v>
      </c>
      <c r="L22" s="1">
        <f>Denmark!L$27</f>
        <v>72</v>
      </c>
      <c r="M22" s="1">
        <f>Denmark!M$27</f>
        <v>5</v>
      </c>
      <c r="N22" s="1">
        <f>Denmark!N$27</f>
        <v>78</v>
      </c>
      <c r="O22" s="1">
        <f>Denmark!O$27</f>
        <v>0</v>
      </c>
      <c r="P22" s="1">
        <f>Denmark!P$27</f>
        <v>33</v>
      </c>
      <c r="Q22" s="1">
        <f>Denmark!Q$27</f>
        <v>0</v>
      </c>
      <c r="R22" s="1">
        <f>Denmark!R$27</f>
        <v>0</v>
      </c>
      <c r="S22" s="1">
        <f>Denmark!S$27</f>
        <v>0</v>
      </c>
      <c r="T22" s="1">
        <f>Denmark!T$27</f>
        <v>0</v>
      </c>
      <c r="U22" s="29">
        <f>Denmark!U$27</f>
        <v>0</v>
      </c>
      <c r="W22" s="3"/>
    </row>
    <row r="23" spans="1:26" x14ac:dyDescent="0.25">
      <c r="A23" s="40" t="s">
        <v>133</v>
      </c>
      <c r="B23" s="27">
        <f>(E23-F23)/F23</f>
        <v>-0.1621885686370298</v>
      </c>
      <c r="C23" s="50">
        <f>E23-'[1]Europe - country'!E23</f>
        <v>-2693</v>
      </c>
      <c r="D23" s="1">
        <f>F23-'[1]Europe - country'!F23</f>
        <v>-1708</v>
      </c>
      <c r="E23" s="114">
        <f>France!E38</f>
        <v>1715</v>
      </c>
      <c r="F23" s="1">
        <f>France!F38</f>
        <v>2047</v>
      </c>
      <c r="G23" s="1">
        <f>France!G38</f>
        <v>4448</v>
      </c>
      <c r="H23" s="1">
        <f>France!H38</f>
        <v>2416</v>
      </c>
      <c r="I23" s="1">
        <f>France!I38</f>
        <v>4174</v>
      </c>
      <c r="J23" s="1">
        <f>France!J38</f>
        <v>3115</v>
      </c>
      <c r="K23" s="1">
        <f>France!K38</f>
        <v>3558</v>
      </c>
      <c r="L23" s="1">
        <f>France!L38</f>
        <v>3747</v>
      </c>
      <c r="M23" s="1">
        <f>France!M38</f>
        <v>4208</v>
      </c>
      <c r="N23" s="1">
        <f>France!N38</f>
        <v>4340</v>
      </c>
      <c r="O23" s="1">
        <f>France!O38</f>
        <v>1540</v>
      </c>
      <c r="P23" s="1">
        <f>France!P38</f>
        <v>5352</v>
      </c>
      <c r="Q23" s="1"/>
      <c r="R23" s="1"/>
      <c r="S23" s="1"/>
      <c r="T23" s="1"/>
      <c r="U23" s="29"/>
    </row>
    <row r="24" spans="1:26" x14ac:dyDescent="0.25">
      <c r="A24" s="20" t="s">
        <v>28</v>
      </c>
      <c r="B24" s="27">
        <f>(E24-F24)/F24</f>
        <v>-0.52005347593582885</v>
      </c>
      <c r="C24" s="50">
        <f>E24-'[1]Europe - country'!E24</f>
        <v>-757</v>
      </c>
      <c r="D24" s="1">
        <f>F24-'[1]Europe - country'!F24</f>
        <v>192</v>
      </c>
      <c r="E24" s="114">
        <f>Germany!E$26</f>
        <v>718</v>
      </c>
      <c r="F24" s="1">
        <f>Germany!F$26</f>
        <v>1496</v>
      </c>
      <c r="G24" s="1">
        <f>Germany!G$26</f>
        <v>1554</v>
      </c>
      <c r="H24" s="1">
        <f>Germany!H$26</f>
        <v>1140</v>
      </c>
      <c r="I24" s="1">
        <f>Germany!I$26</f>
        <v>1197</v>
      </c>
      <c r="J24" s="1">
        <f>Germany!J$26</f>
        <v>1063</v>
      </c>
      <c r="K24" s="1">
        <f>Germany!K$26</f>
        <v>158</v>
      </c>
      <c r="L24" s="1">
        <f>Germany!L$26</f>
        <v>322</v>
      </c>
      <c r="M24" s="1">
        <f>Germany!M$26</f>
        <v>992</v>
      </c>
      <c r="N24" s="1">
        <f>Germany!N$26</f>
        <v>630</v>
      </c>
      <c r="O24" s="1">
        <f>Germany!O$26</f>
        <v>139</v>
      </c>
      <c r="P24" s="1">
        <f>Germany!P$26</f>
        <v>557</v>
      </c>
      <c r="Q24" s="1">
        <f>Germany!Q$26</f>
        <v>158</v>
      </c>
      <c r="R24" s="1">
        <f>Germany!R$26</f>
        <v>444</v>
      </c>
      <c r="S24" s="1">
        <f>Germany!S$26</f>
        <v>196</v>
      </c>
      <c r="T24" s="1">
        <f>Germany!T$26</f>
        <v>260</v>
      </c>
      <c r="U24" s="29">
        <f>Germany!U$26</f>
        <v>118</v>
      </c>
      <c r="W24" s="3"/>
    </row>
    <row r="25" spans="1:26" x14ac:dyDescent="0.25">
      <c r="A25" s="20" t="s">
        <v>180</v>
      </c>
      <c r="B25" s="27"/>
      <c r="C25" s="50">
        <f>E25-'[1]Europe - country'!E25</f>
        <v>-21020</v>
      </c>
      <c r="D25" s="1">
        <f>F25-'[1]Europe - country'!F25</f>
        <v>-10810.827997178485</v>
      </c>
      <c r="E25" s="114">
        <f>Italy!E$29</f>
        <v>18340</v>
      </c>
      <c r="F25" s="1">
        <f>Italy!F$29</f>
        <v>10320.928273039683</v>
      </c>
      <c r="G25" s="1">
        <f>Italy!G$29</f>
        <v>84050.452787645903</v>
      </c>
      <c r="H25" s="1">
        <f>Italy!H$29</f>
        <v>0</v>
      </c>
      <c r="I25" s="1">
        <f>Italy!I$29</f>
        <v>102127.62374008067</v>
      </c>
      <c r="J25" s="1">
        <f>Italy!J$29</f>
        <v>122662.68619727486</v>
      </c>
      <c r="K25" s="1">
        <f>Italy!K$29</f>
        <v>88543.51254367872</v>
      </c>
      <c r="L25" s="1">
        <f>Italy!L$29</f>
        <v>117188.93693775515</v>
      </c>
      <c r="M25" s="1">
        <f>Italy!M$29</f>
        <v>105539.50471702013</v>
      </c>
      <c r="N25" s="1">
        <f>Italy!N$29</f>
        <v>143660.0585110689</v>
      </c>
      <c r="O25" s="1">
        <f>Italy!O$29</f>
        <v>74691.42506886537</v>
      </c>
      <c r="P25" s="1">
        <f>Italy!P$29</f>
        <v>176989.55424510691</v>
      </c>
      <c r="Q25" s="1">
        <f>Italy!Q$29</f>
        <v>61928.891255588023</v>
      </c>
      <c r="R25" s="1">
        <f>Italy!R$29</f>
        <v>113605.9666106099</v>
      </c>
      <c r="S25" s="1">
        <f>Italy!S$29</f>
        <v>70400</v>
      </c>
      <c r="T25" s="1">
        <f>Italy!T$29</f>
        <v>66020</v>
      </c>
      <c r="U25" s="29">
        <f>Italy!U$29</f>
        <v>93916</v>
      </c>
      <c r="W25" s="3"/>
    </row>
    <row r="26" spans="1:26" x14ac:dyDescent="0.25">
      <c r="A26" s="40" t="s">
        <v>32</v>
      </c>
      <c r="B26" s="27">
        <f>(E26-F26)/F26</f>
        <v>1</v>
      </c>
      <c r="C26" s="50">
        <f>E26-'[1]Europe - country'!E26</f>
        <v>-14000</v>
      </c>
      <c r="D26" s="1">
        <f>F26-'[1]Europe - country'!F26</f>
        <v>-14000</v>
      </c>
      <c r="E26" s="114">
        <f>Poland!E$25</f>
        <v>6000</v>
      </c>
      <c r="F26" s="1">
        <f>Poland!F$25</f>
        <v>3000</v>
      </c>
      <c r="G26" s="1">
        <f>Poland!G$25</f>
        <v>2000</v>
      </c>
      <c r="H26" s="1">
        <f>Poland!H$25</f>
        <v>0</v>
      </c>
      <c r="I26" s="1">
        <f>Poland!I$25</f>
        <v>2000</v>
      </c>
      <c r="J26" s="1">
        <f>Poland!J$25</f>
        <v>0</v>
      </c>
      <c r="K26" s="38">
        <f>Poland!K$25</f>
        <v>0</v>
      </c>
      <c r="L26" s="38">
        <f>Poland!L$25</f>
        <v>3000</v>
      </c>
      <c r="M26" s="38">
        <f>Poland!M$25</f>
        <v>0</v>
      </c>
      <c r="N26" s="38">
        <f>Poland!N$25</f>
        <v>6000</v>
      </c>
      <c r="O26" s="38">
        <f>Poland!O$25</f>
        <v>0</v>
      </c>
      <c r="P26" s="38">
        <f>Poland!P$25</f>
        <v>2500</v>
      </c>
      <c r="Q26" s="38">
        <f>Poland!Q$25</f>
        <v>3000</v>
      </c>
      <c r="R26" s="38">
        <f>Poland!R$25</f>
        <v>9000</v>
      </c>
      <c r="S26" s="38">
        <f>Poland!S$25</f>
        <v>5000</v>
      </c>
      <c r="T26" s="38">
        <f>Poland!T$25</f>
        <v>1000</v>
      </c>
      <c r="U26" s="65">
        <f>Poland!U$25</f>
        <v>6000</v>
      </c>
      <c r="W26" s="3"/>
    </row>
    <row r="27" spans="1:26" ht="14.4" x14ac:dyDescent="0.3">
      <c r="A27" s="40" t="s">
        <v>168</v>
      </c>
      <c r="B27" s="27">
        <f>(E27-F27)/F27</f>
        <v>-0.74260928849341157</v>
      </c>
      <c r="C27" s="50">
        <f>E27-'[2]Europe - country'!E27</f>
        <v>-33382.964223139912</v>
      </c>
      <c r="D27" s="1">
        <f>F27-'[2]Europe - country'!F27</f>
        <v>-42574</v>
      </c>
      <c r="E27" s="114">
        <f>Portugal!E$14</f>
        <v>21897</v>
      </c>
      <c r="F27" s="1">
        <f>Portugal!F$14</f>
        <v>85073</v>
      </c>
      <c r="G27" s="1">
        <f>Portugal!G$14</f>
        <v>25459</v>
      </c>
      <c r="H27" s="1">
        <f>Portugal!H$14</f>
        <v>46875</v>
      </c>
      <c r="I27" s="1">
        <f>Portugal!I$14</f>
        <v>41335</v>
      </c>
      <c r="J27" s="1">
        <f>Portugal!J$14</f>
        <v>36205</v>
      </c>
      <c r="K27" s="38">
        <f>Portugal!K$14</f>
        <v>27028</v>
      </c>
      <c r="L27" s="38">
        <f>Portugal!L$14</f>
        <v>16378</v>
      </c>
      <c r="M27" s="38">
        <f>Portugal!M$14</f>
        <v>41422</v>
      </c>
      <c r="N27" s="38">
        <f>Portugal!N$14</f>
        <v>45904</v>
      </c>
      <c r="O27" s="38">
        <f>Portugal!O$14</f>
        <v>11886</v>
      </c>
      <c r="P27" s="38">
        <f>Portugal!P$14</f>
        <v>35230</v>
      </c>
      <c r="Q27" s="38">
        <f>Portugal!Q$14</f>
        <v>21516.400000000001</v>
      </c>
      <c r="R27" s="38">
        <f>Portugal!R$14</f>
        <v>45419.69</v>
      </c>
      <c r="S27" s="38">
        <f>Portugal!S$14</f>
        <v>22919.7</v>
      </c>
      <c r="T27" s="90"/>
      <c r="U27" s="73"/>
      <c r="W27" s="3"/>
    </row>
    <row r="28" spans="1:26" hidden="1" x14ac:dyDescent="0.25">
      <c r="A28" s="40" t="s">
        <v>175</v>
      </c>
      <c r="B28" s="27"/>
      <c r="C28" s="50" t="e">
        <f>E28-#REF!</f>
        <v>#REF!</v>
      </c>
      <c r="D28" s="1" t="e">
        <f>F28-#REF!</f>
        <v>#REF!</v>
      </c>
      <c r="E28" s="114"/>
      <c r="F28" s="1"/>
      <c r="G28" s="1"/>
      <c r="H28" s="1"/>
      <c r="I28" s="1"/>
      <c r="J28" s="1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65"/>
      <c r="W28" s="3"/>
      <c r="Y28" s="1"/>
      <c r="Z28" s="1"/>
    </row>
    <row r="29" spans="1:26" x14ac:dyDescent="0.25">
      <c r="A29" s="20" t="s">
        <v>37</v>
      </c>
      <c r="B29" s="27">
        <f>(E29-F29)/F29</f>
        <v>-0.28300699850593691</v>
      </c>
      <c r="C29" s="50">
        <f>E29-'[1]Europe - country'!E29</f>
        <v>-5684.7842997351254</v>
      </c>
      <c r="D29" s="1">
        <f>F29-'[1]Europe - country'!F29</f>
        <v>-10278.233537408465</v>
      </c>
      <c r="E29" s="114">
        <f>Spain!E$17</f>
        <v>27354</v>
      </c>
      <c r="F29" s="1">
        <f>Spain!F$17</f>
        <v>38151</v>
      </c>
      <c r="G29" s="1">
        <f>Spain!G$17</f>
        <v>36802.138415329377</v>
      </c>
      <c r="H29" s="1">
        <f>Spain!H$17</f>
        <v>41796.423143474778</v>
      </c>
      <c r="I29" s="1">
        <f>Spain!I$17</f>
        <v>40096</v>
      </c>
      <c r="J29" s="1">
        <f>Spain!J$17</f>
        <v>46276</v>
      </c>
      <c r="K29" s="1">
        <f>Spain!K$17</f>
        <v>39306.84450786969</v>
      </c>
      <c r="L29" s="1">
        <f>Spain!L$17</f>
        <v>41620</v>
      </c>
      <c r="M29" s="1">
        <f>Spain!M$17</f>
        <v>50090.52120407411</v>
      </c>
      <c r="N29" s="1">
        <f>Spain!N$17</f>
        <v>60603.904346209973</v>
      </c>
      <c r="O29" s="1">
        <f>Spain!O$17</f>
        <v>27947.562975519992</v>
      </c>
      <c r="P29" s="1">
        <f>Spain!P$17</f>
        <v>79129.301459005437</v>
      </c>
      <c r="Q29" s="1">
        <f>Spain!Q$17</f>
        <v>74363.372799676916</v>
      </c>
      <c r="R29" s="1">
        <f>Spain!R$17</f>
        <v>52885</v>
      </c>
      <c r="S29" s="1">
        <f>Spain!S$17</f>
        <v>54743</v>
      </c>
      <c r="T29" s="1">
        <f>Spain!T$17</f>
        <v>53444</v>
      </c>
      <c r="U29" s="29">
        <f>Spain!U$17</f>
        <v>62454</v>
      </c>
      <c r="W29" s="3"/>
    </row>
    <row r="30" spans="1:26" x14ac:dyDescent="0.25">
      <c r="A30" s="20" t="s">
        <v>60</v>
      </c>
      <c r="B30" s="27">
        <f>(E30-F30)/F30</f>
        <v>-0.10987341772151898</v>
      </c>
      <c r="C30" s="50">
        <f>E30-'[1]Europe - country'!E30</f>
        <v>-2197</v>
      </c>
      <c r="D30" s="1">
        <f>F30-'[1]Europe - country'!F30</f>
        <v>-1425</v>
      </c>
      <c r="E30" s="114">
        <f>Switzerland!E$28</f>
        <v>1758</v>
      </c>
      <c r="F30" s="1">
        <f>Switzerland!F$28</f>
        <v>1975</v>
      </c>
      <c r="G30" s="1">
        <f>Switzerland!G$28</f>
        <v>3613</v>
      </c>
      <c r="H30" s="1">
        <f>Switzerland!H$28</f>
        <v>4311</v>
      </c>
      <c r="I30" s="1">
        <f>Switzerland!I$28</f>
        <v>4119</v>
      </c>
      <c r="J30" s="1">
        <f>Switzerland!J$28</f>
        <v>7</v>
      </c>
      <c r="K30" s="1">
        <f>Switzerland!K$28</f>
        <v>2033</v>
      </c>
      <c r="L30" s="1">
        <f>Switzerland!L$28</f>
        <v>1865</v>
      </c>
      <c r="M30" s="1">
        <f>Switzerland!M$28</f>
        <v>3594</v>
      </c>
      <c r="N30" s="1">
        <f>Switzerland!N$28</f>
        <v>2492</v>
      </c>
      <c r="O30" s="1">
        <f>Switzerland!O$28</f>
        <v>592</v>
      </c>
      <c r="P30" s="1">
        <f>Switzerland!P$28</f>
        <v>5407</v>
      </c>
      <c r="Q30" s="1">
        <f>Switzerland!Q$28</f>
        <v>584</v>
      </c>
      <c r="R30" s="1">
        <f>Switzerland!R$28</f>
        <v>4401</v>
      </c>
      <c r="S30" s="1">
        <f>Switzerland!S$28</f>
        <v>62</v>
      </c>
      <c r="T30" s="1">
        <f>Switzerland!T$28</f>
        <v>4691</v>
      </c>
      <c r="U30" s="29">
        <f>Switzerland!U$28</f>
        <v>768</v>
      </c>
      <c r="W30" s="3"/>
    </row>
    <row r="31" spans="1:26" x14ac:dyDescent="0.25">
      <c r="A31" s="20" t="s">
        <v>1</v>
      </c>
      <c r="B31" s="27">
        <f>(E31-F31)/F31</f>
        <v>0.15312823762104957</v>
      </c>
      <c r="C31" s="50">
        <f>E31-'[1]Europe - country'!E31</f>
        <v>-35846</v>
      </c>
      <c r="D31" s="1">
        <f>F31-'[1]Europe - country'!F31</f>
        <v>-31328</v>
      </c>
      <c r="E31" s="114">
        <f>Netherlands!E$15</f>
        <v>134675</v>
      </c>
      <c r="F31" s="1">
        <f>Netherlands!F$15</f>
        <v>116791</v>
      </c>
      <c r="G31" s="1">
        <f>Netherlands!G$15</f>
        <v>137854</v>
      </c>
      <c r="H31" s="1">
        <f>Netherlands!H$15</f>
        <v>121259</v>
      </c>
      <c r="I31" s="1">
        <f>Netherlands!I$15</f>
        <v>143414</v>
      </c>
      <c r="J31" s="1">
        <f>Netherlands!J$15</f>
        <v>121004</v>
      </c>
      <c r="K31" s="1">
        <f>Netherlands!K$15</f>
        <v>133337</v>
      </c>
      <c r="L31" s="1">
        <f>Netherlands!L$15</f>
        <v>136192</v>
      </c>
      <c r="M31" s="1">
        <f>Netherlands!M$15</f>
        <v>126294</v>
      </c>
      <c r="N31" s="1">
        <f>Netherlands!N$15</f>
        <v>117521</v>
      </c>
      <c r="O31" s="1">
        <f>Netherlands!O$15</f>
        <v>59000</v>
      </c>
      <c r="P31" s="1">
        <f>Netherlands!P$15</f>
        <v>103000</v>
      </c>
      <c r="Q31" s="1">
        <f>Netherlands!Q$15</f>
        <v>81000</v>
      </c>
      <c r="R31" s="1">
        <f>Netherlands!R$15</f>
        <v>88000</v>
      </c>
      <c r="S31" s="1">
        <f>Netherlands!S$15</f>
        <v>39000</v>
      </c>
      <c r="T31" s="1">
        <f>Netherlands!T$15</f>
        <v>61000</v>
      </c>
      <c r="U31" s="29">
        <f>Netherlands!U$15</f>
        <v>65000</v>
      </c>
    </row>
    <row r="32" spans="1:26" ht="13.8" thickBot="1" x14ac:dyDescent="0.3">
      <c r="A32" s="20" t="s">
        <v>167</v>
      </c>
      <c r="B32" s="27">
        <f>(E32-F32)/F32</f>
        <v>1.9237259534255823E-2</v>
      </c>
      <c r="C32" s="50">
        <f>E32-'[1]Europe - country'!E32</f>
        <v>-1671</v>
      </c>
      <c r="D32" s="1">
        <f>F32-'[1]Europe - country'!F32</f>
        <v>-1514</v>
      </c>
      <c r="E32" s="114">
        <f>UK!E$19</f>
        <v>3020</v>
      </c>
      <c r="F32" s="1">
        <f>UK!F$19</f>
        <v>2963</v>
      </c>
      <c r="G32" s="1">
        <f>UK!G$19</f>
        <v>3231</v>
      </c>
      <c r="H32" s="1">
        <f>UK!H$19</f>
        <v>1575</v>
      </c>
      <c r="I32" s="1">
        <f>UK!I$19</f>
        <v>2812</v>
      </c>
      <c r="J32" s="1">
        <f>UK!J$19</f>
        <v>3641</v>
      </c>
      <c r="K32" s="1">
        <f>UK!K$19</f>
        <v>3750</v>
      </c>
      <c r="L32" s="1">
        <f>UK!L$19</f>
        <v>4600</v>
      </c>
      <c r="M32" s="1">
        <f>UK!M$19</f>
        <v>3500</v>
      </c>
      <c r="N32" s="1">
        <f>UK!N$19</f>
        <v>5400</v>
      </c>
      <c r="O32" s="1">
        <f>UK!O$19</f>
        <v>4500</v>
      </c>
      <c r="P32" s="1">
        <f>UK!P$19</f>
        <v>4600</v>
      </c>
      <c r="Q32" s="1">
        <f>UK!Q$19</f>
        <v>5000</v>
      </c>
      <c r="R32" s="1">
        <f>UK!R$19</f>
        <v>8500</v>
      </c>
      <c r="S32" s="1">
        <f>UK!S$19</f>
        <v>3400</v>
      </c>
      <c r="T32" s="1">
        <f>UK!T$19</f>
        <v>2000</v>
      </c>
      <c r="U32" s="29">
        <f>UK!U$19</f>
        <v>3000</v>
      </c>
      <c r="W32" s="3"/>
    </row>
    <row r="33" spans="1:22" ht="13.8" thickBot="1" x14ac:dyDescent="0.3">
      <c r="A33" s="23" t="s">
        <v>23</v>
      </c>
      <c r="B33" s="111">
        <f>(E33-F33)/F33</f>
        <v>-0.19513749795919963</v>
      </c>
      <c r="C33" s="70">
        <f>E33-'[1]Europe - country'!E33</f>
        <v>-98033.784299735096</v>
      </c>
      <c r="D33" s="46">
        <f>F33-'[1]Europe - country'!F33</f>
        <v>-19844.061534586945</v>
      </c>
      <c r="E33" s="45">
        <f>SUM(E20:E32)</f>
        <v>312685</v>
      </c>
      <c r="F33" s="46">
        <f>SUM(F20:F32)</f>
        <v>388494.9282730397</v>
      </c>
      <c r="G33" s="46">
        <f>SUM(G20:G32)</f>
        <v>456678.59120297531</v>
      </c>
      <c r="H33" s="46">
        <f>SUM(H20:H32)</f>
        <v>315169.42314347479</v>
      </c>
      <c r="I33" s="46">
        <f>SUM(I20:I32)</f>
        <v>475811.62374008069</v>
      </c>
      <c r="J33" s="46">
        <f t="shared" ref="J33:O33" si="3">SUM(J20:J32)</f>
        <v>419878.68619727483</v>
      </c>
      <c r="K33" s="46">
        <f t="shared" si="3"/>
        <v>410160.35705154843</v>
      </c>
      <c r="L33" s="46">
        <f t="shared" si="3"/>
        <v>458983.93693775515</v>
      </c>
      <c r="M33" s="46">
        <f t="shared" si="3"/>
        <v>452718.02592109423</v>
      </c>
      <c r="N33" s="46">
        <f t="shared" si="3"/>
        <v>461074.96285727888</v>
      </c>
      <c r="O33" s="46">
        <f t="shared" si="3"/>
        <v>236299.98804438533</v>
      </c>
      <c r="P33" s="46">
        <f t="shared" ref="P33:U33" si="4">SUM(P20:P32)</f>
        <v>476432.85570411233</v>
      </c>
      <c r="Q33" s="46">
        <f t="shared" si="4"/>
        <v>323592.66405526496</v>
      </c>
      <c r="R33" s="46">
        <f t="shared" si="4"/>
        <v>393075.65661060991</v>
      </c>
      <c r="S33" s="46">
        <f t="shared" si="4"/>
        <v>223320.7</v>
      </c>
      <c r="T33" s="46">
        <f t="shared" si="4"/>
        <v>263315</v>
      </c>
      <c r="U33" s="86">
        <f t="shared" si="4"/>
        <v>321256</v>
      </c>
    </row>
    <row r="34" spans="1:22" x14ac:dyDescent="0.25">
      <c r="A34" s="3" t="s">
        <v>162</v>
      </c>
      <c r="U34" s="1"/>
    </row>
    <row r="35" spans="1:22" x14ac:dyDescent="0.25">
      <c r="A35" s="52" t="s">
        <v>169</v>
      </c>
      <c r="U35" s="1"/>
    </row>
    <row r="36" spans="1:22" x14ac:dyDescent="0.25">
      <c r="A36" s="52" t="s">
        <v>179</v>
      </c>
      <c r="T36" s="1"/>
      <c r="U36" s="1"/>
    </row>
    <row r="37" spans="1:22" x14ac:dyDescent="0.25">
      <c r="F37" s="1"/>
      <c r="Q37" s="108"/>
      <c r="T37" s="1"/>
      <c r="U37" s="1"/>
    </row>
    <row r="38" spans="1:22" x14ac:dyDescent="0.25">
      <c r="A38" s="71"/>
    </row>
    <row r="39" spans="1:22" ht="25.5" customHeight="1" x14ac:dyDescent="0.25">
      <c r="A39" s="12"/>
      <c r="B39" s="12"/>
      <c r="C39" s="149"/>
      <c r="D39" s="148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3"/>
      <c r="U39" s="13"/>
    </row>
    <row r="40" spans="1:22" x14ac:dyDescent="0.25">
      <c r="C40" s="82"/>
      <c r="T40" s="1"/>
      <c r="U40" s="1"/>
    </row>
    <row r="41" spans="1:22" ht="25.5" customHeight="1" x14ac:dyDescent="0.25">
      <c r="A41" s="16"/>
      <c r="B41" s="16"/>
      <c r="C41" s="150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7"/>
      <c r="U41" s="17"/>
      <c r="V41" s="9"/>
    </row>
    <row r="42" spans="1:22" x14ac:dyDescent="0.25">
      <c r="C42" s="82"/>
      <c r="T42" s="14"/>
      <c r="U42" s="14"/>
      <c r="V42" s="1"/>
    </row>
    <row r="43" spans="1:22" x14ac:dyDescent="0.25">
      <c r="C43" s="82"/>
      <c r="T43" s="14"/>
      <c r="U43" s="14"/>
      <c r="V43" s="1"/>
    </row>
    <row r="44" spans="1:22" x14ac:dyDescent="0.25">
      <c r="C44" s="82"/>
      <c r="T44" s="14"/>
      <c r="U44" s="14"/>
      <c r="V44" s="1"/>
    </row>
    <row r="45" spans="1:22" x14ac:dyDescent="0.25">
      <c r="C45" s="82"/>
      <c r="T45" s="14"/>
      <c r="U45" s="14"/>
      <c r="V45" s="1"/>
    </row>
    <row r="46" spans="1:22" x14ac:dyDescent="0.25">
      <c r="C46" s="82"/>
      <c r="T46" s="14"/>
      <c r="U46" s="14"/>
      <c r="V46" s="1"/>
    </row>
    <row r="47" spans="1:22" x14ac:dyDescent="0.25">
      <c r="B47" s="82"/>
      <c r="T47" s="14"/>
      <c r="U47" s="14"/>
      <c r="V47" s="1"/>
    </row>
    <row r="48" spans="1:22" x14ac:dyDescent="0.25">
      <c r="C48" s="122"/>
      <c r="T48" s="14"/>
      <c r="U48" s="14"/>
      <c r="V48" s="1"/>
    </row>
    <row r="49" spans="1:22" x14ac:dyDescent="0.25">
      <c r="A49" s="18"/>
      <c r="B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4"/>
      <c r="U49" s="14"/>
      <c r="V49" s="1"/>
    </row>
    <row r="50" spans="1:22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4"/>
      <c r="U50" s="14"/>
      <c r="V50" s="1"/>
    </row>
    <row r="51" spans="1:22" x14ac:dyDescent="0.25">
      <c r="A51" s="18"/>
      <c r="B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4"/>
      <c r="U51" s="14"/>
      <c r="V51" s="1"/>
    </row>
    <row r="52" spans="1:22" x14ac:dyDescent="0.25">
      <c r="A52" s="18"/>
      <c r="B52" s="18"/>
      <c r="C52" s="1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4"/>
      <c r="U52" s="14"/>
      <c r="V52" s="1"/>
    </row>
    <row r="53" spans="1:22" x14ac:dyDescent="0.25">
      <c r="A53" s="18"/>
      <c r="B53" s="18"/>
      <c r="C53" s="76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4"/>
      <c r="U53" s="14"/>
      <c r="V53" s="1"/>
    </row>
    <row r="54" spans="1:22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4"/>
      <c r="U54" s="14"/>
      <c r="V54" s="1"/>
    </row>
    <row r="55" spans="1:22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4"/>
      <c r="U55" s="14"/>
      <c r="V55" s="1"/>
    </row>
    <row r="56" spans="1:22" x14ac:dyDescent="0.25">
      <c r="T56" s="14"/>
      <c r="U56" s="14"/>
      <c r="V56" s="1"/>
    </row>
    <row r="57" spans="1:22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4"/>
      <c r="U57" s="14"/>
      <c r="V57" s="2"/>
    </row>
    <row r="58" spans="1:22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4"/>
      <c r="U58" s="14"/>
    </row>
    <row r="59" spans="1:22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4"/>
      <c r="U59" s="14"/>
      <c r="V59" s="1"/>
    </row>
    <row r="60" spans="1:22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4"/>
      <c r="U60" s="14"/>
      <c r="V60" s="1"/>
    </row>
    <row r="61" spans="1:22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4"/>
      <c r="U61" s="14"/>
      <c r="V61" s="1"/>
    </row>
    <row r="62" spans="1:22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4"/>
      <c r="U62" s="14"/>
      <c r="V62" s="1"/>
    </row>
    <row r="63" spans="1:22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4"/>
      <c r="U63" s="14"/>
      <c r="V63" s="1"/>
    </row>
    <row r="64" spans="1:22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4"/>
      <c r="U64" s="14"/>
      <c r="V64" s="2"/>
    </row>
    <row r="65" spans="1:21" ht="26.2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5"/>
      <c r="U65" s="15"/>
    </row>
    <row r="66" spans="1:21" x14ac:dyDescent="0.25">
      <c r="T66" s="1"/>
      <c r="U66" s="1"/>
    </row>
    <row r="67" spans="1:21" x14ac:dyDescent="0.25">
      <c r="T67" s="1"/>
      <c r="U67" s="1"/>
    </row>
    <row r="68" spans="1:21" x14ac:dyDescent="0.25">
      <c r="T68" s="1"/>
      <c r="U68" s="1"/>
    </row>
    <row r="69" spans="1:21" x14ac:dyDescent="0.25">
      <c r="T69" s="11"/>
      <c r="U69" s="11"/>
    </row>
    <row r="70" spans="1:21" x14ac:dyDescent="0.25">
      <c r="T70" s="11"/>
      <c r="U70" s="11"/>
    </row>
    <row r="71" spans="1:21" x14ac:dyDescent="0.25">
      <c r="T71" s="1"/>
      <c r="U71" s="11"/>
    </row>
    <row r="72" spans="1:21" x14ac:dyDescent="0.25">
      <c r="T72" s="1"/>
      <c r="U72" s="1"/>
    </row>
    <row r="73" spans="1:21" x14ac:dyDescent="0.25">
      <c r="T73" s="1"/>
      <c r="U73" s="1"/>
    </row>
    <row r="74" spans="1:21" x14ac:dyDescent="0.25">
      <c r="T74" s="1"/>
      <c r="U74" s="1"/>
    </row>
    <row r="75" spans="1:21" x14ac:dyDescent="0.25">
      <c r="T75" s="1"/>
      <c r="U75" s="1"/>
    </row>
    <row r="76" spans="1:2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2"/>
      <c r="U76" s="2"/>
    </row>
    <row r="81" spans="1:19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</row>
  </sheetData>
  <phoneticPr fontId="3" type="noConversion"/>
  <pageMargins left="0.75" right="0.75" top="1" bottom="1" header="0.5" footer="0.5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DA47"/>
  <sheetViews>
    <sheetView zoomScaleNormal="100" workbookViewId="0"/>
  </sheetViews>
  <sheetFormatPr defaultColWidth="8.77734375" defaultRowHeight="13.2" x14ac:dyDescent="0.25"/>
  <cols>
    <col min="1" max="1" width="19.77734375" customWidth="1"/>
    <col min="2" max="2" width="12" bestFit="1" customWidth="1"/>
    <col min="3" max="3" width="11.33203125" customWidth="1"/>
    <col min="4" max="4" width="11.33203125" bestFit="1" customWidth="1"/>
    <col min="5" max="10" width="11.33203125" customWidth="1"/>
    <col min="11" max="19" width="10.6640625" customWidth="1"/>
  </cols>
  <sheetData>
    <row r="1" spans="1:20" ht="13.8" thickBot="1" x14ac:dyDescent="0.3">
      <c r="A1" s="39" t="s">
        <v>91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6">
        <v>39873</v>
      </c>
    </row>
    <row r="2" spans="1:20" x14ac:dyDescent="0.25">
      <c r="A2" s="40" t="s">
        <v>20</v>
      </c>
      <c r="B2" s="101"/>
      <c r="C2" s="129">
        <f>E2-'[1]Europe - variety'!E2</f>
        <v>-5000</v>
      </c>
      <c r="D2" s="38">
        <f>F2-'[1]Europe - variety'!F2</f>
        <v>-5000</v>
      </c>
      <c r="E2" s="43">
        <f>Italy!E$2</f>
        <v>0</v>
      </c>
      <c r="F2" s="38">
        <f>Italy!F$2</f>
        <v>0</v>
      </c>
      <c r="G2" s="38">
        <f>Italy!G$2</f>
        <v>0</v>
      </c>
      <c r="H2" s="38">
        <f>Italy!H$2</f>
        <v>0</v>
      </c>
      <c r="I2" s="38">
        <f>Italy!I$2</f>
        <v>0</v>
      </c>
      <c r="J2" s="38">
        <f>Italy!J$2</f>
        <v>0</v>
      </c>
      <c r="K2" s="38">
        <f>Italy!K$2</f>
        <v>0</v>
      </c>
      <c r="L2" s="38">
        <f>Italy!L$2</f>
        <v>0</v>
      </c>
      <c r="M2" s="38">
        <f>Italy!M$2</f>
        <v>0</v>
      </c>
      <c r="N2" s="38">
        <f>Italy!N$2</f>
        <v>0</v>
      </c>
      <c r="O2" s="38">
        <f>Italy!O$2</f>
        <v>0</v>
      </c>
      <c r="P2" s="38">
        <f>Italy!P$2</f>
        <v>1104.4162792295535</v>
      </c>
      <c r="Q2" s="38">
        <f>Italy!Q$2</f>
        <v>0</v>
      </c>
      <c r="R2" s="38">
        <f>Italy!R$2</f>
        <v>0</v>
      </c>
      <c r="S2" s="65">
        <f>Italy!S$2</f>
        <v>0</v>
      </c>
      <c r="T2" s="38"/>
    </row>
    <row r="3" spans="1:20" x14ac:dyDescent="0.25">
      <c r="A3" s="40" t="s">
        <v>4</v>
      </c>
      <c r="B3" s="101">
        <f t="shared" ref="B3:B32" si="0">(E3-F3)/F3</f>
        <v>-0.30318745094002131</v>
      </c>
      <c r="C3" s="129">
        <f>E3-'[1]Europe - variety'!E3</f>
        <v>-4536.135135135135</v>
      </c>
      <c r="D3" s="38">
        <f>F3-'[1]Europe - variety'!F3</f>
        <v>-5348.2475106685652</v>
      </c>
      <c r="E3" s="43">
        <f>Austria!E$3+Belgium!E$2+Denmark!E$2+France!E$4+Germany!E$2+Switzerland!E$2+Netherlands!E$2+Poland!E$2</f>
        <v>8550</v>
      </c>
      <c r="F3" s="38">
        <f>Austria!F$3+Belgium!F$2+Denmark!F$2+France!F$4+Germany!F$2+Switzerland!F$2+Netherlands!F$2+Poland!F$2</f>
        <v>12270.157894736842</v>
      </c>
      <c r="G3" s="38">
        <f>Austria!G$3+Belgium!G$2+Denmark!G$2+France!G$4+Germany!G$2+Switzerland!G$2+Netherlands!G$2+Poland!G$2</f>
        <v>3082</v>
      </c>
      <c r="H3" s="38">
        <f>Austria!H$3+Belgium!H$2+Denmark!H$2+France!H$4+Germany!H$2+Switzerland!H$2+Netherlands!H$2+Poland!H$2</f>
        <v>4487</v>
      </c>
      <c r="I3" s="38">
        <f>Austria!I$3+Belgium!I$2+Denmark!I$2+France!I$4+Germany!I$2+Switzerland!I$2+Netherlands!I$2+Poland!I$2</f>
        <v>10246.1</v>
      </c>
      <c r="J3" s="38">
        <f>Austria!J$3+Belgium!J$2+Denmark!J$2+France!J$4+Germany!J$2+Switzerland!J$2+Netherlands!J$2+Poland!J$2</f>
        <v>427</v>
      </c>
      <c r="K3" s="38">
        <f>Austria!K$3+Belgium!K$2+Denmark!K$2+France!K$4+Germany!K$2+Switzerland!K$2+Netherlands!K$2+Poland!K$2</f>
        <v>9026</v>
      </c>
      <c r="L3" s="38">
        <f>Austria!L$3+Belgium!L$2+Denmark!L$2+France!L$4+Germany!L$2+Switzerland!L$2+Netherlands!L$2+Poland!L$2</f>
        <v>9780</v>
      </c>
      <c r="M3" s="38">
        <f>Austria!M$3+Belgium!M$2+Denmark!M$2+France!M$4+Germany!M$2+Switzerland!M$2+Netherlands!M$2+Poland!M$2</f>
        <v>11243</v>
      </c>
      <c r="N3" s="38">
        <f>Austria!N$3+Belgium!N$2+Denmark!N$2+France!N$4+Germany!N$2+Switzerland!N$2+Netherlands!N$2+Poland!N$2</f>
        <v>5683</v>
      </c>
      <c r="O3" s="38">
        <f>Austria!O$3+Belgium!O$2+Denmark!O$2+France!O$4+Germany!O$2+Switzerland!O$2+Netherlands!O$2+Poland!O$2</f>
        <v>4118</v>
      </c>
      <c r="P3" s="38">
        <f>Austria!P$3+Belgium!P$2+Denmark!P$2+France!P$4+Germany!P$2+Switzerland!P$2+Netherlands!P$2+Poland!P$2</f>
        <v>5992.15</v>
      </c>
      <c r="Q3" s="38">
        <f>Austria!Q$3+Belgium!Q$2+Denmark!Q$2+France!Q$4+Germany!Q$2+Switzerland!Q$2+Netherlands!Q$2+Poland!Q$2</f>
        <v>5518</v>
      </c>
      <c r="R3" s="38">
        <f>Austria!R$3+Belgium!R$2+Denmark!R$2+France!R$4+Germany!R$2+Switzerland!R$2+Netherlands!R$2+Poland!R$2</f>
        <v>6968</v>
      </c>
      <c r="S3" s="65">
        <f>Austria!S$3+Belgium!S$2+Denmark!S$2+France!S$4+Germany!S$2+Switzerland!S$2+Netherlands!S$2+Poland!S$2</f>
        <v>12124</v>
      </c>
      <c r="T3" s="3"/>
    </row>
    <row r="4" spans="1:20" x14ac:dyDescent="0.25">
      <c r="A4" s="40" t="s">
        <v>11</v>
      </c>
      <c r="B4" s="101">
        <f t="shared" si="0"/>
        <v>-0.11386236485444927</v>
      </c>
      <c r="C4" s="129">
        <f>E4-'[1]Europe - variety'!E4</f>
        <v>-24067.313173954928</v>
      </c>
      <c r="D4" s="38">
        <f>F4-'[1]Europe - variety'!F4</f>
        <v>-16945.174123189412</v>
      </c>
      <c r="E4" s="43">
        <f>Austria!E$4+France!E$5+Germany!E$3+Italy!E$3+Switzerland!E$3+UK!E$2+'Czech Republic'!E$2</f>
        <v>81387.68421052632</v>
      </c>
      <c r="F4" s="38">
        <f>Austria!F$4+France!F$5+Germany!F$3+Italy!F$3+Switzerland!F$3+UK!F$2+'Czech Republic'!F$2</f>
        <v>91845.421052631573</v>
      </c>
      <c r="G4" s="38">
        <f>Austria!G$4+France!G$5+Germany!G$3+Italy!G$3+Switzerland!G$3+UK!G$2+'Czech Republic'!G$2</f>
        <v>84167.65</v>
      </c>
      <c r="H4" s="38">
        <f>Austria!H$4+France!H$5+Germany!H$3+Italy!H$3+Switzerland!H$3+UK!H$2+'Czech Republic'!H$2</f>
        <v>94276.44</v>
      </c>
      <c r="I4" s="38">
        <f>Austria!I$4+France!I$5+Germany!I$3+Italy!I$3+Switzerland!I$3+UK!I$2+'Czech Republic'!I$2</f>
        <v>111394.01000000001</v>
      </c>
      <c r="J4" s="38">
        <f>Austria!J$4+France!J$5+Germany!J$3+Italy!J$3+Switzerland!J$3+UK!J$2+'Czech Republic'!J$2</f>
        <v>56747.11</v>
      </c>
      <c r="K4" s="38">
        <f>Austria!K$4+France!K$5+Germany!K$3+Italy!K$3+Switzerland!K$3+UK!K$2+'Czech Republic'!K$2</f>
        <v>94954.8</v>
      </c>
      <c r="L4" s="38">
        <f>Austria!L$4+France!L$5+Germany!L$3+Italy!L$3+Switzerland!L$3+UK!L$2+'Czech Republic'!L$2</f>
        <v>105905.8</v>
      </c>
      <c r="M4" s="38">
        <f>Austria!M$4+France!M$5+Germany!M$3+Italy!M$3+Switzerland!M$3+UK!M$2+'Czech Republic'!M$2</f>
        <v>95329.45</v>
      </c>
      <c r="N4" s="38">
        <f>Austria!N$4+France!N$5+Germany!N$3+Italy!N$3+Switzerland!N$3+UK!N$2+'Czech Republic'!N$2</f>
        <v>106967.35</v>
      </c>
      <c r="O4" s="38">
        <f>Austria!O$4+France!O$5+Germany!O$3+Italy!O$3+Switzerland!O$3+UK!O$2+'Czech Republic'!O$2</f>
        <v>69155.350000000006</v>
      </c>
      <c r="P4" s="38">
        <f>Austria!P$4+France!P$5+Germany!P$3+Italy!P$3+Switzerland!P$3+UK!P$2+'Czech Republic'!P$2</f>
        <v>111188.66164999391</v>
      </c>
      <c r="Q4" s="38">
        <f>Austria!Q$4+France!Q$5+Germany!Q$3+Italy!Q$3+Switzerland!Q$3+UK!Q$2+'Czech Republic'!Q$2</f>
        <v>96118</v>
      </c>
      <c r="R4" s="38">
        <f>Austria!R$4+France!R$5+Germany!R$3+Italy!R$3+Switzerland!R$3+UK!R$2+'Czech Republic'!R$2</f>
        <v>117575.29000000001</v>
      </c>
      <c r="S4" s="65">
        <f>Austria!S$4+France!S$5+Germany!S$3+Italy!S$3+Switzerland!S$3+UK!S$2+'Czech Republic'!S$2</f>
        <v>60964</v>
      </c>
    </row>
    <row r="5" spans="1:20" x14ac:dyDescent="0.25">
      <c r="A5" s="40" t="s">
        <v>36</v>
      </c>
      <c r="B5" s="101">
        <f t="shared" si="0"/>
        <v>0.61806342015855043</v>
      </c>
      <c r="C5" s="129">
        <f>E5-'[1]Europe - variety'!E5</f>
        <v>-4946</v>
      </c>
      <c r="D5" s="38">
        <f>F5-'[1]Europe - variety'!F5</f>
        <v>-1514</v>
      </c>
      <c r="E5" s="43">
        <f>UK!E$3</f>
        <v>22860</v>
      </c>
      <c r="F5" s="38">
        <f>UK!F$3</f>
        <v>14128</v>
      </c>
      <c r="G5" s="38">
        <f>UK!G$3</f>
        <v>19285</v>
      </c>
      <c r="H5" s="38">
        <f>UK!H$3</f>
        <v>19072</v>
      </c>
      <c r="I5" s="38">
        <f>UK!I$3</f>
        <v>26000</v>
      </c>
      <c r="J5" s="38">
        <f>UK!J$3</f>
        <v>25000</v>
      </c>
      <c r="K5" s="38">
        <f>UK!K$3</f>
        <v>5480</v>
      </c>
      <c r="L5" s="38">
        <f>UK!L$3</f>
        <v>22000</v>
      </c>
      <c r="M5" s="38">
        <f>UK!M$3</f>
        <v>38000</v>
      </c>
      <c r="N5" s="38">
        <f>UK!N$3</f>
        <v>31000</v>
      </c>
      <c r="O5" s="38">
        <f>UK!O$3</f>
        <v>14000</v>
      </c>
      <c r="P5" s="38">
        <f>UK!P$3</f>
        <v>34000</v>
      </c>
      <c r="Q5" s="38">
        <f>UK!Q$3</f>
        <v>38000</v>
      </c>
      <c r="R5" s="38">
        <f>UK!R$3</f>
        <v>35000</v>
      </c>
      <c r="S5" s="65">
        <f>UK!S$3</f>
        <v>34000</v>
      </c>
    </row>
    <row r="6" spans="1:20" x14ac:dyDescent="0.25">
      <c r="A6" s="40" t="s">
        <v>29</v>
      </c>
      <c r="B6" s="101">
        <f t="shared" si="0"/>
        <v>0.34782608695652173</v>
      </c>
      <c r="C6" s="129">
        <f>E6-'[1]Europe - variety'!E6</f>
        <v>-1228</v>
      </c>
      <c r="D6" s="38">
        <f>F6-'[1]Europe - variety'!F6</f>
        <v>-1122</v>
      </c>
      <c r="E6" s="43">
        <f>France!E6+UK!E4</f>
        <v>3317</v>
      </c>
      <c r="F6" s="38">
        <f>France!F6+UK!F4</f>
        <v>2461</v>
      </c>
      <c r="G6" s="38">
        <f>France!G6+UK!G4</f>
        <v>3371</v>
      </c>
      <c r="H6" s="38">
        <f>France!H6+UK!H4</f>
        <v>1474</v>
      </c>
      <c r="I6" s="38">
        <f>France!I6+UK!I4</f>
        <v>1793</v>
      </c>
      <c r="J6" s="38">
        <f>France!J6+UK!J4</f>
        <v>354</v>
      </c>
      <c r="K6" s="38">
        <f>France!K6+UK!K4</f>
        <v>0</v>
      </c>
      <c r="L6" s="38">
        <f>France!L6+UK!L4</f>
        <v>1500</v>
      </c>
      <c r="M6" s="38">
        <f>France!M6+UK!M4</f>
        <v>0</v>
      </c>
      <c r="N6" s="38">
        <f>France!N6+UK!N4</f>
        <v>500</v>
      </c>
      <c r="O6" s="38">
        <f>France!O6+UK!O4</f>
        <v>0</v>
      </c>
      <c r="P6" s="38">
        <f>France!P6+UK!P4</f>
        <v>492</v>
      </c>
      <c r="Q6" s="38">
        <f>France!Q6+UK!Q4</f>
        <v>1221</v>
      </c>
      <c r="R6" s="38">
        <f>France!R6+UK!R4</f>
        <v>2718</v>
      </c>
      <c r="S6" s="65">
        <f>France!S6+UK!S4</f>
        <v>200</v>
      </c>
    </row>
    <row r="7" spans="1:20" x14ac:dyDescent="0.25">
      <c r="A7" s="40" t="s">
        <v>33</v>
      </c>
      <c r="B7" s="101"/>
      <c r="C7" s="129">
        <f>E7-'[1]Europe - variety'!E7</f>
        <v>0</v>
      </c>
      <c r="D7" s="38">
        <f>F7-'[1]Europe - variety'!F7</f>
        <v>0</v>
      </c>
      <c r="E7" s="43">
        <f>Poland!E$3</f>
        <v>0</v>
      </c>
      <c r="F7" s="38">
        <f>Poland!F$3</f>
        <v>0</v>
      </c>
      <c r="G7" s="38">
        <f>Poland!G$3</f>
        <v>0</v>
      </c>
      <c r="H7" s="38">
        <f>Poland!H$3</f>
        <v>0</v>
      </c>
      <c r="I7" s="38">
        <f>Poland!I$3</f>
        <v>0</v>
      </c>
      <c r="J7" s="38">
        <f>Poland!J$3</f>
        <v>0</v>
      </c>
      <c r="K7" s="38">
        <f>Poland!K$3</f>
        <v>0</v>
      </c>
      <c r="L7" s="38">
        <f>Poland!L$3</f>
        <v>0</v>
      </c>
      <c r="M7" s="38">
        <f>Poland!M$3</f>
        <v>0</v>
      </c>
      <c r="N7" s="38">
        <f>Poland!N$3</f>
        <v>0</v>
      </c>
      <c r="O7" s="38">
        <f>Poland!O$3</f>
        <v>500</v>
      </c>
      <c r="P7" s="38">
        <f>Poland!P$3</f>
        <v>500</v>
      </c>
      <c r="Q7" s="38">
        <f>Poland!Q$3</f>
        <v>5000</v>
      </c>
      <c r="R7" s="38">
        <f>Poland!R$3</f>
        <v>10000</v>
      </c>
      <c r="S7" s="65">
        <f>Poland!S$3</f>
        <v>3000</v>
      </c>
    </row>
    <row r="8" spans="1:20" x14ac:dyDescent="0.25">
      <c r="A8" s="40" t="s">
        <v>5</v>
      </c>
      <c r="B8" s="101">
        <f t="shared" si="0"/>
        <v>1.3823529411764706</v>
      </c>
      <c r="C8" s="129">
        <f>E8-'[1]Europe - variety'!E8</f>
        <v>-893</v>
      </c>
      <c r="D8" s="38">
        <f>F8-'[1]Europe - variety'!F8</f>
        <v>-508</v>
      </c>
      <c r="E8" s="43">
        <f>Belgium!E$3+Denmark!E$4+Germany!E$4+Switzerland!E$4+UK!E$5</f>
        <v>1215</v>
      </c>
      <c r="F8" s="38">
        <f>Belgium!F$3+Denmark!F$4+Germany!F$4+Switzerland!F$4+UK!F$5</f>
        <v>510</v>
      </c>
      <c r="G8" s="38">
        <f>Belgium!G$3+Denmark!G$4+Germany!G$4+Switzerland!G$4+UK!G$5</f>
        <v>812</v>
      </c>
      <c r="H8" s="38">
        <f>Belgium!H$3+Denmark!H$4+Germany!H$4+Switzerland!H$4+UK!H$5</f>
        <v>1182</v>
      </c>
      <c r="I8" s="38">
        <f>Belgium!I$3+Denmark!I$4+Germany!I$4+Switzerland!I$4+UK!I$5</f>
        <v>1827</v>
      </c>
      <c r="J8" s="38">
        <f>Belgium!J$3+Denmark!J$4+Germany!J$4+Switzerland!J$4+UK!J$5</f>
        <v>234</v>
      </c>
      <c r="K8" s="38">
        <f>Belgium!K$3+Denmark!K$4+Germany!K$4+Switzerland!K$4+UK!K$5</f>
        <v>2100</v>
      </c>
      <c r="L8" s="38">
        <f>Belgium!L$3+Denmark!L$4+Germany!L$4+Switzerland!L$4+UK!L$5</f>
        <v>5290</v>
      </c>
      <c r="M8" s="38">
        <f>Belgium!M$3+Denmark!M$4+Germany!M$4+Switzerland!M$4+UK!M$5</f>
        <v>951</v>
      </c>
      <c r="N8" s="38">
        <f>Belgium!N$3+Denmark!N$4+Germany!N$4+Switzerland!N$4+UK!N$5</f>
        <v>6211</v>
      </c>
      <c r="O8" s="38">
        <f>Belgium!O$3+Denmark!O$4+Germany!O$4+Switzerland!O$4+UK!O$5</f>
        <v>2007</v>
      </c>
      <c r="P8" s="38">
        <f>Belgium!P$3+Denmark!P$4+Germany!P$4+Switzerland!P$4+UK!P$5</f>
        <v>4803</v>
      </c>
      <c r="Q8" s="38">
        <f>Belgium!Q$3+Denmark!Q$4+Germany!Q$4+Switzerland!Q$4+UK!Q$5</f>
        <v>7060</v>
      </c>
      <c r="R8" s="38">
        <f>Belgium!R$3+Denmark!R$4+Germany!R$4+Switzerland!R$4+UK!R$5</f>
        <v>6541</v>
      </c>
      <c r="S8" s="65">
        <f>Belgium!S$3+Denmark!S$4+Germany!S$4+Switzerland!S$4+UK!S$5</f>
        <v>3017</v>
      </c>
    </row>
    <row r="9" spans="1:20" x14ac:dyDescent="0.25">
      <c r="A9" s="40" t="s">
        <v>61</v>
      </c>
      <c r="B9" s="101">
        <f t="shared" si="0"/>
        <v>0.35142266276830919</v>
      </c>
      <c r="C9" s="129">
        <f>E9-'[1]Europe - variety'!E9</f>
        <v>-39983</v>
      </c>
      <c r="D9" s="38">
        <f>F9-'[1]Europe - variety'!F9</f>
        <v>-28993</v>
      </c>
      <c r="E9" s="43">
        <f>France!E$8+Italy!E$4</f>
        <v>132657</v>
      </c>
      <c r="F9" s="38">
        <f>France!F$8+Italy!F$4</f>
        <v>98161</v>
      </c>
      <c r="G9" s="38">
        <f>France!G$8+Italy!G$4</f>
        <v>115348.8</v>
      </c>
      <c r="H9" s="38">
        <f>France!H$8+Italy!H$4</f>
        <v>97400</v>
      </c>
      <c r="I9" s="38">
        <f>France!I$8+Italy!I$4</f>
        <v>98169.83</v>
      </c>
      <c r="J9" s="38">
        <f>France!J$8+Italy!J$4</f>
        <v>84696.209999999992</v>
      </c>
      <c r="K9" s="38">
        <f>France!K$8+Italy!K$4</f>
        <v>108223.8</v>
      </c>
      <c r="L9" s="38">
        <f>France!L$8+Italy!L$4</f>
        <v>90213.6</v>
      </c>
      <c r="M9" s="38">
        <f>France!M$8+Italy!M$4</f>
        <v>102202</v>
      </c>
      <c r="N9" s="38">
        <f>France!N$8+Italy!N$4</f>
        <v>74076</v>
      </c>
      <c r="O9" s="38">
        <f>France!O$8+Italy!O$4</f>
        <v>47158</v>
      </c>
      <c r="P9" s="38">
        <f>France!P$8+Italy!P$4</f>
        <v>75317.583678581286</v>
      </c>
      <c r="Q9" s="38">
        <f>France!Q$8+Italy!Q$4</f>
        <v>55738</v>
      </c>
      <c r="R9" s="38">
        <f>France!R$8+Italy!R$4</f>
        <v>29577</v>
      </c>
      <c r="S9" s="65">
        <f>France!S$8+Italy!S$4</f>
        <v>0</v>
      </c>
    </row>
    <row r="10" spans="1:20" x14ac:dyDescent="0.25">
      <c r="A10" s="40" t="s">
        <v>2</v>
      </c>
      <c r="B10" s="101">
        <f t="shared" si="0"/>
        <v>0.18746400716475173</v>
      </c>
      <c r="C10" s="129">
        <f>E10-'[1]Europe - variety'!E10</f>
        <v>-25086.048364153627</v>
      </c>
      <c r="D10" s="38">
        <f>F10-'[1]Europe - variety'!F10</f>
        <v>-22542.022759601707</v>
      </c>
      <c r="E10" s="43">
        <f>Austria!E$5+Belgium!E$4+Denmark!E$5+France!E$9+Germany!E$5+Italy!E$5+Switzerland!E$5+Netherlands!E$3+Poland!E$4</f>
        <v>91486.789473684214</v>
      </c>
      <c r="F10" s="38">
        <f>Austria!F$5+Belgium!F$4+Denmark!F$5+France!F$9+Germany!F$5+Italy!F$5+Switzerland!F$5+Netherlands!F$3+Poland!F$4</f>
        <v>77043.84210526316</v>
      </c>
      <c r="G10" s="38">
        <f>Austria!G$5+Belgium!G$4+Denmark!G$5+France!G$9+Germany!G$5+Italy!G$5+Switzerland!G$5+Netherlands!G$3+Poland!G$4</f>
        <v>54205.4</v>
      </c>
      <c r="H10" s="38">
        <f>Austria!H$5+Belgium!H$4+Denmark!H$5+France!H$9+Germany!H$5+Italy!H$5+Switzerland!H$5+Netherlands!H$3+Poland!H$4</f>
        <v>81756.639999999999</v>
      </c>
      <c r="I10" s="38">
        <f>Austria!I$5+Belgium!I$4+Denmark!I$5+France!I$9+Germany!I$5+Italy!I$5+Switzerland!I$5+Netherlands!I$3+Poland!I$4</f>
        <v>68028.850000000006</v>
      </c>
      <c r="J10" s="38">
        <f>Austria!J$5+Belgium!J$4+Denmark!J$5+France!J$9+Germany!J$5+Italy!J$5+Switzerland!J$5+Netherlands!J$3+Poland!J$4</f>
        <v>42192</v>
      </c>
      <c r="K10" s="38">
        <f>Austria!K$5+Belgium!K$4+Denmark!K$5+France!K$9+Germany!K$5+Italy!K$5+Switzerland!K$5+Netherlands!K$3+Poland!K$4</f>
        <v>74563</v>
      </c>
      <c r="L10" s="38">
        <f>Austria!L$5+Belgium!L$4+Denmark!L$5+France!L$9+Germany!L$5+Italy!L$5+Switzerland!L$5+Netherlands!L$3+Poland!L$4</f>
        <v>82393</v>
      </c>
      <c r="M10" s="38">
        <f>Austria!M$5+Belgium!M$4+Denmark!M$5+France!M$9+Germany!M$5+Italy!M$5+Switzerland!M$5+Netherlands!M$3+Poland!M$4</f>
        <v>94936.4</v>
      </c>
      <c r="N10" s="38">
        <f>Austria!N$5+Belgium!N$4+Denmark!N$5+France!N$9+Germany!N$5+Italy!N$5+Switzerland!N$5+Netherlands!N$3+Poland!N$4</f>
        <v>65287.15</v>
      </c>
      <c r="O10" s="38">
        <f>Austria!O$5+Belgium!O$4+Denmark!O$5+France!O$9+Germany!O$5+Italy!O$5+Switzerland!O$5+Netherlands!O$3+Poland!O$4</f>
        <v>59394.2</v>
      </c>
      <c r="P10" s="38">
        <f>Austria!P$5+Belgium!P$4+Denmark!P$5+France!P$9+Germany!P$5+Italy!P$5+Switzerland!P$5+Netherlands!P$3+Poland!P$4</f>
        <v>86472.367541047046</v>
      </c>
      <c r="Q10" s="38">
        <f>Austria!Q$5+Belgium!Q$4+Denmark!Q$5+France!Q$9+Germany!Q$5+Italy!Q$5+Switzerland!Q$5+Netherlands!Q$3+Poland!Q$4</f>
        <v>64207</v>
      </c>
      <c r="R10" s="38">
        <f>Austria!R$5+Belgium!R$4+Denmark!R$5+France!R$9+Germany!R$5+Italy!R$5+Switzerland!R$5+Netherlands!R$3+Poland!R$4</f>
        <v>105356</v>
      </c>
      <c r="S10" s="65">
        <f>Austria!S$5+Belgium!S$4+Denmark!S$5+France!S$9+Germany!S$5+Italy!S$5+Switzerland!S$5+Netherlands!S$3+Poland!S$4</f>
        <v>75879</v>
      </c>
    </row>
    <row r="11" spans="1:20" x14ac:dyDescent="0.25">
      <c r="A11" s="40" t="s">
        <v>12</v>
      </c>
      <c r="B11" s="101">
        <f t="shared" si="0"/>
        <v>-0.21690835226470939</v>
      </c>
      <c r="C11" s="129">
        <f>E11-'[1]Europe - variety'!E11</f>
        <v>-26303.597062987115</v>
      </c>
      <c r="D11" s="38">
        <f>F11-'[1]Europe - variety'!F11</f>
        <v>-22291.721312970389</v>
      </c>
      <c r="E11" s="43">
        <f>Austria!E$7+Denmark!E$6+France!E$10+Germany!E$6+Italy!E$6+Spain!E$2</f>
        <v>82947.210526315786</v>
      </c>
      <c r="F11" s="38">
        <f>Austria!F$7+Denmark!F$6+France!F$10+Germany!F$6+Italy!F$6+Spain!F$2</f>
        <v>105922.73684210527</v>
      </c>
      <c r="G11" s="38">
        <f>Austria!G$7+Denmark!G$6+France!G$10+Germany!G$6+Italy!G$6+Spain!G$2</f>
        <v>103926.76297877975</v>
      </c>
      <c r="H11" s="38">
        <f>Austria!H$7+Denmark!H$6+France!H$10+Germany!H$6+Italy!H$6+Spain!H$2</f>
        <v>102793.61722309185</v>
      </c>
      <c r="I11" s="38">
        <f>Austria!I$7+Denmark!I$6+France!I$10+Germany!I$6+Italy!I$6+Spain!I$2</f>
        <v>115045.24</v>
      </c>
      <c r="J11" s="38">
        <f>Austria!J$7+Denmark!J$6+France!J$10+Germany!J$6+Italy!J$6+Spain!J$2</f>
        <v>80555.625</v>
      </c>
      <c r="K11" s="38">
        <f>Austria!K$7+Denmark!K$6+France!K$10+Germany!K$6+Italy!K$6+Spain!K$2</f>
        <v>101495.10554411937</v>
      </c>
      <c r="L11" s="38">
        <f>Austria!L$7+Denmark!L$6+France!L$10+Germany!L$6+Italy!L$6+Spain!L$2</f>
        <v>120182.61300000001</v>
      </c>
      <c r="M11" s="38">
        <f>Austria!M$7+Denmark!M$6+France!M$10+Germany!M$6+Italy!M$6+Spain!M$2</f>
        <v>106297.69459352741</v>
      </c>
      <c r="N11" s="38">
        <f>Austria!N$7+Denmark!N$6+France!N$10+Germany!N$6+Italy!N$6+Spain!N$2</f>
        <v>117146.81211557955</v>
      </c>
      <c r="O11" s="38">
        <f>Austria!O$7+Denmark!O$6+France!O$10+Germany!O$6+Italy!O$6+Spain!O$2</f>
        <v>61094.495217117008</v>
      </c>
      <c r="P11" s="38">
        <f>Austria!P$7+Denmark!P$6+France!P$10+Germany!P$6+Italy!P$6+Spain!P$2</f>
        <v>90835.261676804279</v>
      </c>
      <c r="Q11" s="38">
        <f>Austria!Q$7+Denmark!Q$6+France!Q$10+Germany!Q$6+Italy!Q$6+Spain!Q$2</f>
        <v>99401.239804759418</v>
      </c>
      <c r="R11" s="38">
        <f>Austria!R$7+Denmark!R$6+France!R$10+Germany!R$6+Italy!R$6+Spain!R$2</f>
        <v>85201.962369189278</v>
      </c>
      <c r="S11" s="65">
        <f>Austria!S$7+Denmark!S$6+France!S$10+Germany!S$6+Italy!S$6+Spain!S$2</f>
        <v>69411.399999999994</v>
      </c>
    </row>
    <row r="12" spans="1:20" x14ac:dyDescent="0.25">
      <c r="A12" s="40" t="s">
        <v>9</v>
      </c>
      <c r="B12" s="101">
        <f t="shared" si="0"/>
        <v>-0.30009226515164156</v>
      </c>
      <c r="C12" s="129">
        <f>E12-'[1]Europe - variety'!E12</f>
        <v>-117312.76189224515</v>
      </c>
      <c r="D12" s="38">
        <f>F12-'[1]Europe - variety'!F12</f>
        <v>-108214.69385037053</v>
      </c>
      <c r="E12" s="43">
        <f>Austria!E$8+'Czech Republic'!E$3+Denmark!E$7+France!E$11+Germany!E$7+Italy!E$7+Spain!E$3+Switzerland!E$6+UK!E$6+Poland!E$5</f>
        <v>196552.84210526315</v>
      </c>
      <c r="F12" s="38">
        <f>Austria!F$8+'Czech Republic'!F$3+Denmark!F$7+France!F$11+Germany!F$7+Italy!F$7+Spain!F$3+Switzerland!F$6+UK!F$6+Poland!F$5</f>
        <v>280826.78947368421</v>
      </c>
      <c r="G12" s="38">
        <f>Austria!G$8+'Czech Republic'!G$3+Denmark!G$7+France!G$11+Germany!G$7+Italy!G$7+Spain!G$3+Switzerland!G$6+UK!G$6+Poland!G$5</f>
        <v>237143.3673699669</v>
      </c>
      <c r="H12" s="38">
        <f>Austria!H$8+'Czech Republic'!H$3+Denmark!H$7+France!H$11+Germany!H$7+Italy!H$7+Spain!H$3+Switzerland!H$6+UK!H$6+Poland!H$5</f>
        <v>190681.42407204292</v>
      </c>
      <c r="I12" s="38">
        <f>Austria!I$8+'Czech Republic'!I$3+Denmark!I$7+France!I$11+Germany!I$7+Italy!I$7+Spain!I$3+Switzerland!I$6+UK!I$6+Poland!I$5</f>
        <v>213026.15</v>
      </c>
      <c r="J12" s="38">
        <f>Austria!J$8+'Czech Republic'!J$3+Denmark!J$7+France!J$11+Germany!J$7+Italy!J$7+Spain!J$3+Switzerland!J$6+UK!J$6+Poland!J$5</f>
        <v>108845</v>
      </c>
      <c r="K12" s="38">
        <f>Austria!K$8+'Czech Republic'!K$3+Denmark!K$7+France!K$11+Germany!K$7+Italy!K$7+Spain!K$3+Switzerland!K$6+UK!K$6+Poland!K$5</f>
        <v>119632.67448741196</v>
      </c>
      <c r="L12" s="38">
        <f>Austria!L$8+'Czech Republic'!L$3+Denmark!L$7+France!L$11+Germany!L$7+Italy!L$7+Spain!L$3+Switzerland!L$6+UK!L$6+Poland!L$5</f>
        <v>121705.122</v>
      </c>
      <c r="M12" s="38">
        <f>Austria!M$8+'Czech Republic'!M$3+Denmark!M$7+France!M$11+Germany!M$7+Italy!M$7+Spain!M$3+Switzerland!M$6+UK!M$6+Poland!M$5</f>
        <v>114916.83862068348</v>
      </c>
      <c r="N12" s="38">
        <f>Austria!N$8+'Czech Republic'!N$3+Denmark!N$7+France!N$11+Germany!N$7+Italy!N$7+Spain!N$3+Switzerland!N$6+UK!N$6+Poland!N$5</f>
        <v>130639.45416720705</v>
      </c>
      <c r="O12" s="38">
        <f>Austria!O$8+'Czech Republic'!O$3+Denmark!O$7+France!O$11+Germany!O$7+Italy!O$7+Spain!O$3+Switzerland!O$6+UK!O$6+Poland!O$5</f>
        <v>74611.409441501484</v>
      </c>
      <c r="P12" s="38">
        <f>Austria!P$8+'Czech Republic'!P$3+Denmark!P$7+France!P$11+Germany!P$7+Italy!P$7+Spain!P$3+Switzerland!P$6+UK!P$6+Poland!P$5</f>
        <v>104261.62490868515</v>
      </c>
      <c r="Q12" s="38">
        <f>Austria!Q$8+'Czech Republic'!Q$3+Denmark!Q$7+France!Q$11+Germany!Q$7+Italy!Q$7+Spain!Q$3+Switzerland!Q$6+UK!Q$6+Poland!Q$5</f>
        <v>127418.85196377934</v>
      </c>
      <c r="R12" s="38">
        <f>Austria!R$8+'Czech Republic'!R$3+Denmark!R$7+France!R$11+Germany!R$7+Italy!R$7+Spain!R$3+Switzerland!R$6+UK!R$6+Poland!R$5</f>
        <v>117187.68928139869</v>
      </c>
      <c r="S12" s="65">
        <f>Austria!S$8+'Czech Republic'!S$3+Denmark!S$7+France!S$11+Germany!S$7+Italy!S$7+Spain!S$3+Switzerland!S$6+UK!S$6+Poland!S$5</f>
        <v>90725.3</v>
      </c>
    </row>
    <row r="13" spans="1:20" x14ac:dyDescent="0.25">
      <c r="A13" s="40" t="s">
        <v>14</v>
      </c>
      <c r="B13" s="101">
        <f t="shared" si="0"/>
        <v>-0.49737872453381116</v>
      </c>
      <c r="C13" s="129">
        <f>E13-'[1]Europe - variety'!E13</f>
        <v>-5084</v>
      </c>
      <c r="D13" s="38">
        <f>F13-'[1]Europe - variety'!F13</f>
        <v>-10233</v>
      </c>
      <c r="E13" s="43">
        <f>Austria!E$9+Belgium!E$5+'Czech Republic'!E$4+Denmark!E$8+Germany!E$8+Italy!E$8+Poland!E$6</f>
        <v>15148</v>
      </c>
      <c r="F13" s="38">
        <f>Austria!F$9+Belgium!F$5+'Czech Republic'!F$4+Denmark!F$8+Germany!F$8+Italy!F$8+Poland!F$6</f>
        <v>30138</v>
      </c>
      <c r="G13" s="38">
        <f>Austria!G$9+Belgium!G$5+'Czech Republic'!G$4+Denmark!G$8+Germany!G$8+Italy!G$8+Poland!G$6</f>
        <v>55259</v>
      </c>
      <c r="H13" s="38">
        <f>Austria!H$9+Belgium!H$5+'Czech Republic'!H$4+Denmark!H$8+Germany!H$8+Italy!H$8+Poland!H$6</f>
        <v>50139</v>
      </c>
      <c r="I13" s="38">
        <f>Austria!I$9+Belgium!I$5+'Czech Republic'!I$4+Denmark!I$8+Germany!I$8+Italy!I$8+Poland!I$6</f>
        <v>66241</v>
      </c>
      <c r="J13" s="38">
        <f>Austria!J$9+Belgium!J$5+'Czech Republic'!J$4+Denmark!J$8+Germany!J$8+Italy!J$8+Poland!J$6</f>
        <v>65410</v>
      </c>
      <c r="K13" s="38">
        <f>Austria!K$9+Belgium!K$5+'Czech Republic'!K$4+Denmark!K$8+Germany!K$8+Italy!K$8+Poland!K$6</f>
        <v>65748</v>
      </c>
      <c r="L13" s="38">
        <f>Austria!L$9+Belgium!L$5+'Czech Republic'!L$4+Denmark!L$8+Germany!L$8+Italy!L$8+Poland!L$6</f>
        <v>61394</v>
      </c>
      <c r="M13" s="38">
        <f>Austria!M$9+Belgium!M$5+'Czech Republic'!M$4+Denmark!M$8+Germany!M$8+Italy!M$8+Poland!M$6</f>
        <v>63022</v>
      </c>
      <c r="N13" s="38">
        <f>Austria!N$9+Belgium!N$5+'Czech Republic'!N$4+Denmark!N$8+Germany!N$8+Italy!N$8+Poland!N$6</f>
        <v>61546</v>
      </c>
      <c r="O13" s="38">
        <f>Austria!O$9+Belgium!O$5+'Czech Republic'!O$4+Denmark!O$8+Germany!O$8+Italy!O$8+Poland!O$6</f>
        <v>63715</v>
      </c>
      <c r="P13" s="38">
        <f>Austria!P$9+Belgium!P$5+'Czech Republic'!P$4+Denmark!P$8+Germany!P$8+Italy!P$8+Poland!P$6</f>
        <v>53655.074549449913</v>
      </c>
      <c r="Q13" s="38">
        <f>Austria!Q$9+Belgium!Q$5+'Czech Republic'!Q$4+Denmark!Q$8+Germany!Q$8+Italy!Q$8+Poland!Q$6</f>
        <v>14148</v>
      </c>
      <c r="R13" s="38">
        <f>Austria!R$9+Belgium!R$5+'Czech Republic'!R$4+Denmark!R$8+Germany!R$8+Italy!R$8+Poland!R$6</f>
        <v>17447.97</v>
      </c>
      <c r="S13" s="65">
        <f>Austria!S$9+Belgium!S$5+'Czech Republic'!S$4+Denmark!S$8+Germany!S$8+Italy!S$8+Poland!S$6</f>
        <v>15712.5</v>
      </c>
    </row>
    <row r="14" spans="1:20" x14ac:dyDescent="0.25">
      <c r="A14" s="40" t="s">
        <v>3</v>
      </c>
      <c r="B14" s="101">
        <f t="shared" si="0"/>
        <v>-0.23348027135813895</v>
      </c>
      <c r="C14" s="129">
        <f>E14-'[1]Europe - variety'!E14</f>
        <v>-115689.12470198388</v>
      </c>
      <c r="D14" s="38">
        <f>F14-'[1]Europe - variety'!F14</f>
        <v>-133141.51231253752</v>
      </c>
      <c r="E14" s="43">
        <f>Austria!E$10+Belgium!E$6+'Czech Republic'!E$5+France!E$12+Germany!E$9+Italy!E$9+Spain!E$4+Switzerland!E$8+Netherlands!E$4+Poland!E$7</f>
        <v>618270.05263157887</v>
      </c>
      <c r="F14" s="38">
        <f>Austria!F$10+Belgium!F$6+'Czech Republic'!F$5+France!F$12+Germany!F$9+Italy!F$9+Spain!F$4+Switzerland!F$8+Netherlands!F$4+Poland!F$7</f>
        <v>806593.78947368427</v>
      </c>
      <c r="G14" s="38">
        <f>Austria!G$10+Belgium!G$6+'Czech Republic'!G$5+France!G$12+Germany!G$9+Italy!G$9+Spain!G$4+Switzerland!G$8+Netherlands!G$4+Poland!G$7</f>
        <v>653929.0328844164</v>
      </c>
      <c r="H14" s="38">
        <f>Austria!H$10+Belgium!H$6+'Czech Republic'!H$5+France!H$12+Germany!H$9+Italy!H$9+Spain!H$4+Switzerland!H$8+Netherlands!H$4+Poland!H$7</f>
        <v>804103.44993710984</v>
      </c>
      <c r="I14" s="38">
        <f>Austria!I$10+Belgium!I$6+'Czech Republic'!I$5+France!I$12+Germany!I$9+Italy!I$9+Spain!I$4+Switzerland!I$8+Netherlands!I$4+Poland!I$7</f>
        <v>827667.39</v>
      </c>
      <c r="J14" s="38">
        <f>Austria!J$10+Belgium!J$6+'Czech Republic'!J$5+France!J$12+Germany!J$9+Italy!J$9+Spain!J$4+Switzerland!J$8+Netherlands!J$4+Poland!J$7</f>
        <v>583025</v>
      </c>
      <c r="K14" s="38">
        <f>Austria!K$10+Belgium!K$6+'Czech Republic'!K$5+France!K$12+Germany!K$9+Italy!K$9+Spain!K$4+Switzerland!K$8+Netherlands!K$4+Poland!K$7</f>
        <v>936823.04828184133</v>
      </c>
      <c r="L14" s="38">
        <f>Austria!L$10+Belgium!L$6+'Czech Republic'!L$5+France!L$12+Germany!L$9+Italy!L$9+Spain!L$4+Switzerland!L$8+Netherlands!L$4+Poland!L$7</f>
        <v>911114.924</v>
      </c>
      <c r="M14" s="38">
        <f>Austria!M$10+Belgium!M$6+'Czech Republic'!M$5+France!M$12+Germany!M$9+Italy!M$9+Spain!M$4+Switzerland!M$8+Netherlands!M$4+Poland!M$7</f>
        <v>955447.3153005183</v>
      </c>
      <c r="N14" s="38">
        <f>Austria!N$10+Belgium!N$6+'Czech Republic'!N$5+France!N$12+Germany!N$9+Italy!N$9+Spain!N$4+Switzerland!N$8+Netherlands!N$4+Poland!N$7</f>
        <v>872606.17342369398</v>
      </c>
      <c r="O14" s="38">
        <f>Austria!O$10+Belgium!O$6+'Czech Republic'!O$5+France!O$12+Germany!O$9+Italy!O$9+Spain!O$4+Switzerland!O$8+Netherlands!O$4+Poland!O$7</f>
        <v>727727.38475622924</v>
      </c>
      <c r="P14" s="38">
        <f>Austria!P$10+Belgium!P$6+'Czech Republic'!P$5+France!P$12+Germany!P$9+Italy!P$9+Spain!P$4+Switzerland!P$8+Netherlands!P$4+Poland!P$7</f>
        <v>889698.2270132422</v>
      </c>
      <c r="Q14" s="38">
        <f>Austria!Q$10+Belgium!Q$6+'Czech Republic'!Q$5+France!Q$12+Germany!Q$9+Italy!Q$9+Spain!Q$4+Switzerland!Q$8+Netherlands!Q$4+Poland!Q$7</f>
        <v>836815.17165472615</v>
      </c>
      <c r="R14" s="38">
        <f>Austria!R$10+Belgium!R$6+'Czech Republic'!R$5+France!R$12+Germany!R$9+Italy!R$9+Spain!R$4+Switzerland!R$8+Netherlands!R$4+Poland!R$7</f>
        <v>876987.95242330362</v>
      </c>
      <c r="S14" s="65">
        <f>Austria!S$10+Belgium!S$6+'Czech Republic'!S$5+France!S$12+Germany!S$9+Italy!S$9+Spain!S$4+Switzerland!S$8+Netherlands!S$4+Poland!S$7</f>
        <v>761544.3</v>
      </c>
    </row>
    <row r="15" spans="1:20" x14ac:dyDescent="0.25">
      <c r="A15" s="40" t="s">
        <v>17</v>
      </c>
      <c r="B15" s="101">
        <f t="shared" si="0"/>
        <v>0.11371798238087649</v>
      </c>
      <c r="C15" s="129">
        <f>E15-'[1]Europe - variety'!E15</f>
        <v>-30352.930824276584</v>
      </c>
      <c r="D15" s="38">
        <f>F15-'[1]Europe - variety'!F15</f>
        <v>-27944.610008482981</v>
      </c>
      <c r="E15" s="43">
        <f>Austria!E$11+France!E$14+Italy!E$10+Spain!E$5+Switzerland!E$9+Denmark!E$8</f>
        <v>113406.73684210525</v>
      </c>
      <c r="F15" s="38">
        <f>Austria!F$11+France!F$14+Italy!F$10+Spain!F$5+Switzerland!F$9+Denmark!F$8</f>
        <v>101827.15789473684</v>
      </c>
      <c r="G15" s="38">
        <f>Austria!G$11+France!G$14+Italy!G$10+Spain!G$5+Switzerland!G$9+Denmark!G$8</f>
        <v>127232.80722731687</v>
      </c>
      <c r="H15" s="38">
        <f>Austria!H$11+France!H$14+Italy!H$10+Spain!H$5+Switzerland!H$9+Denmark!H$8</f>
        <v>100213.14398945009</v>
      </c>
      <c r="I15" s="38">
        <f>Austria!I$11+France!I$14+Italy!I$10+Spain!I$5+Switzerland!I$9</f>
        <v>110713.1</v>
      </c>
      <c r="J15" s="38">
        <f>Austria!J$11+France!J$14+Italy!J$10+Spain!J$5+Switzerland!J$9</f>
        <v>112520.185</v>
      </c>
      <c r="K15" s="38">
        <f>Austria!K$11+France!K$14+Italy!K$10+Spain!K$5+Switzerland!K$9</f>
        <v>102670.19604762777</v>
      </c>
      <c r="L15" s="38">
        <f>Austria!L$11+France!L$14+Italy!L$10+Spain!L$5+Switzerland!L$9</f>
        <v>125012.17000000001</v>
      </c>
      <c r="M15" s="38">
        <f>Austria!M$11+France!M$14+Italy!M$10+Spain!M$5+Switzerland!M$9</f>
        <v>115798.96011769936</v>
      </c>
      <c r="N15" s="38">
        <f>Austria!N$11+France!N$14+Italy!N$10+Spain!N$5+Switzerland!N$9</f>
        <v>110865.26487300542</v>
      </c>
      <c r="O15" s="38">
        <f>Austria!O$11+France!O$14+Italy!O$10+Spain!O$5+Switzerland!O$9</f>
        <v>64628.486219931816</v>
      </c>
      <c r="P15" s="38">
        <f>Austria!P$11+France!P$14+Italy!P$10+Spain!P$5+Switzerland!P$9</f>
        <v>89912.839947347326</v>
      </c>
      <c r="Q15" s="38">
        <f>Austria!Q$11+France!Q$14+Italy!Q$10+Spain!Q$5+Switzerland!Q$9</f>
        <v>79191.67588268542</v>
      </c>
      <c r="R15" s="38">
        <f>Austria!R$11+France!R$14+Italy!R$10+Spain!R$5+Switzerland!R$9</f>
        <v>79448.337057932324</v>
      </c>
      <c r="S15" s="65">
        <f>Austria!S$11+France!S$14+Italy!S$10+Spain!S$5+Switzerland!S$9</f>
        <v>42666.2</v>
      </c>
    </row>
    <row r="16" spans="1:20" x14ac:dyDescent="0.25">
      <c r="A16" s="40" t="s">
        <v>15</v>
      </c>
      <c r="B16" s="101">
        <f t="shared" si="0"/>
        <v>-0.71363636363636362</v>
      </c>
      <c r="C16" s="129">
        <f>E16-'[1]Europe - variety'!E16</f>
        <v>-823</v>
      </c>
      <c r="D16" s="38">
        <f>F16-'[1]Europe - variety'!F16</f>
        <v>-345</v>
      </c>
      <c r="E16" s="43">
        <f>Denmark!E$10+Germany!E$10</f>
        <v>63</v>
      </c>
      <c r="F16" s="38">
        <f>Denmark!F$10+Germany!F$10</f>
        <v>220</v>
      </c>
      <c r="G16" s="38">
        <f>Denmark!G$10+Germany!G$10</f>
        <v>100</v>
      </c>
      <c r="H16" s="38">
        <f>Denmark!H$10+Germany!H$10</f>
        <v>0</v>
      </c>
      <c r="I16" s="38">
        <f>Denmark!I$10+Germany!I$10</f>
        <v>150</v>
      </c>
      <c r="J16" s="38">
        <f>Denmark!J$10+Germany!J$10</f>
        <v>0</v>
      </c>
      <c r="K16" s="38">
        <f>Denmark!K$10+Germany!K$10</f>
        <v>300</v>
      </c>
      <c r="L16" s="38">
        <f>Denmark!L$10+Germany!L$10</f>
        <v>335</v>
      </c>
      <c r="M16" s="38">
        <f>Denmark!M$10+Germany!M$10</f>
        <v>568</v>
      </c>
      <c r="N16" s="38">
        <f>Denmark!N$10+Germany!N$10</f>
        <v>376</v>
      </c>
      <c r="O16" s="38">
        <f>Denmark!O$10+Germany!O$10</f>
        <v>2</v>
      </c>
      <c r="P16" s="38">
        <f>Denmark!P$10+Germany!P$10</f>
        <v>742</v>
      </c>
      <c r="Q16" s="38">
        <f>Denmark!Q$10+Germany!Q$10</f>
        <v>95</v>
      </c>
      <c r="R16" s="38">
        <f>Denmark!R$10+Germany!R$10</f>
        <v>410</v>
      </c>
      <c r="S16" s="65">
        <f>Denmark!S$10+Germany!S$10</f>
        <v>5</v>
      </c>
    </row>
    <row r="17" spans="1:105" x14ac:dyDescent="0.25">
      <c r="A17" s="40" t="s">
        <v>10</v>
      </c>
      <c r="B17" s="101">
        <f t="shared" si="0"/>
        <v>-0.19538409349865762</v>
      </c>
      <c r="C17" s="129">
        <f>E17-'[1]Europe - variety'!E17</f>
        <v>-36200.881383930624</v>
      </c>
      <c r="D17" s="38">
        <f>F17-'[1]Europe - variety'!F17</f>
        <v>-40989.19870294744</v>
      </c>
      <c r="E17" s="43">
        <f>Austria!E$12+'Czech Republic'!E$6+Denmark!E$11+France!E$16+Germany!E$11+Italy!E$11+Switzerland!E$10+Poland!E$8</f>
        <v>156546.57894736843</v>
      </c>
      <c r="F17" s="38">
        <f>Austria!F$12+'Czech Republic'!F$6+Denmark!F$11+France!F$16+Germany!F$11+Italy!F$11+Switzerland!F$10+Poland!F$8</f>
        <v>194560.63157894736</v>
      </c>
      <c r="G17" s="38">
        <f>Austria!G$12+'Czech Republic'!G$6+Denmark!G$11+France!G$16+Germany!G$11+Italy!G$11+Switzerland!G$10+Poland!G$8</f>
        <v>187227.05</v>
      </c>
      <c r="H17" s="38">
        <f>Austria!H$12+'Czech Republic'!H$6+Denmark!H$11+France!H$16+Germany!H$11+Italy!H$11+Switzerland!H$10+Poland!H$8</f>
        <v>122346.6</v>
      </c>
      <c r="I17" s="38">
        <f>Austria!I$12+'Czech Republic'!I$6+Denmark!I$11+France!I$16+Germany!I$11+Italy!I$11+Switzerland!I$10+Poland!I$8</f>
        <v>257177.65</v>
      </c>
      <c r="J17" s="38">
        <f>Austria!J$12+'Czech Republic'!J$6+Denmark!J$11+France!J$16+Germany!J$11+Italy!J$11+Switzerland!J$10+Poland!J$8</f>
        <v>105586</v>
      </c>
      <c r="K17" s="38">
        <f>Austria!K$12+'Czech Republic'!K$6+Denmark!K$11+France!K$16+Germany!K$11+Italy!K$11+Switzerland!K$10+Poland!K$8</f>
        <v>235785.5</v>
      </c>
      <c r="L17" s="38">
        <f>Austria!L$12+'Czech Republic'!L$6+Denmark!L$11+France!L$16+Germany!L$11+Italy!L$11+Switzerland!L$10+Poland!L$8</f>
        <v>260909.3</v>
      </c>
      <c r="M17" s="38">
        <f>Austria!M$12+'Czech Republic'!M$6+Denmark!M$11+France!M$16+Germany!M$11+Italy!M$11+Switzerland!M$10+Poland!M$8</f>
        <v>219200.05</v>
      </c>
      <c r="N17" s="38">
        <f>Austria!N$12+'Czech Republic'!N$6+Denmark!N$11+France!N$16+Germany!N$11+Italy!N$11+Switzerland!N$10+Poland!N$8</f>
        <v>218946.05</v>
      </c>
      <c r="O17" s="38">
        <f>Austria!O$12+'Czech Republic'!O$6+Denmark!O$11+France!O$16+Germany!O$11+Italy!O$11+Switzerland!O$10+Poland!O$8</f>
        <v>217164.25</v>
      </c>
      <c r="P17" s="38">
        <f>Austria!P$12+'Czech Republic'!P$6+Denmark!P$11+France!P$16+Germany!P$11+Italy!P$11+Switzerland!P$10+Poland!P$8</f>
        <v>194389.72911437723</v>
      </c>
      <c r="Q17" s="38">
        <f>Austria!Q$12+'Czech Republic'!Q$6+Denmark!Q$11+France!Q$16+Germany!Q$11+Italy!Q$11+Switzerland!Q$10+Poland!Q$8</f>
        <v>117608</v>
      </c>
      <c r="R17" s="38">
        <f>Austria!R$12+'Czech Republic'!R$6+Denmark!R$11+France!R$16+Germany!R$11+Italy!R$11+Switzerland!R$10+Poland!R$8</f>
        <v>140920.25</v>
      </c>
      <c r="S17" s="65">
        <f>Austria!S$12+'Czech Republic'!S$6+Denmark!S$11+France!S$16+Germany!S$11+Italy!S$11+Switzerland!S$10+Poland!S$8</f>
        <v>167126</v>
      </c>
      <c r="T17" s="1"/>
    </row>
    <row r="18" spans="1:105" x14ac:dyDescent="0.25">
      <c r="A18" s="40" t="s">
        <v>27</v>
      </c>
      <c r="B18" s="101">
        <f t="shared" si="0"/>
        <v>-0.31824385492071033</v>
      </c>
      <c r="C18" s="129">
        <f>E18-'[1]Europe - variety'!E18</f>
        <v>-31295.921457960503</v>
      </c>
      <c r="D18" s="38">
        <f>F18-'[1]Europe - variety'!F18</f>
        <v>-23427.768717783998</v>
      </c>
      <c r="E18" s="43">
        <f>Austria!E$13+Belgium!E$7+'Czech Republic'!E$7+Denmark!E$13+France!E$18+Germany!E$13+Italy!E$12+Switzerland!E$11+Netherlands!E$5+UK!E$7+Poland!E$9</f>
        <v>125091.63157894736</v>
      </c>
      <c r="F18" s="38">
        <f>Austria!F$13+Belgium!F$7+'Czech Republic'!F$7+Denmark!F$13+France!F$18+Germany!F$13+Italy!F$12+Switzerland!F$11+Netherlands!F$5+UK!F$7+Poland!F$9</f>
        <v>183484.42105263157</v>
      </c>
      <c r="G18" s="38">
        <f>Austria!G$13+Belgium!G$7+'Czech Republic'!G$7+Denmark!G$13+France!G$18+Germany!G$13+Italy!G$12+Switzerland!G$11+Netherlands!G$5+UK!G$7+Poland!G$9</f>
        <v>143485.04999999999</v>
      </c>
      <c r="H18" s="38">
        <f>Austria!H$13+Belgium!H$7+'Czech Republic'!H$7+Denmark!H$13+France!H$18+Germany!H$13+Italy!H$12+Switzerland!H$11+Netherlands!H$5+UK!H$7+Poland!H$9</f>
        <v>132981.04</v>
      </c>
      <c r="I18" s="38">
        <f>Austria!I$13+Belgium!I$7+'Czech Republic'!I$7+Denmark!I$13+France!I$18+Germany!I$13+Italy!I$12+Switzerland!I$11+Netherlands!I$5+UK!I$7+Poland!I$9</f>
        <v>183762.85</v>
      </c>
      <c r="J18" s="38">
        <f>Austria!J$13+Belgium!J$7+'Czech Republic'!J$7+Denmark!J$13+France!J$18+Germany!J$13+Italy!J$12+Switzerland!J$11+Netherlands!J$5+UK!J$7+Poland!J$9</f>
        <v>76571</v>
      </c>
      <c r="K18" s="38">
        <f>Austria!K$13+Belgium!K$7+'Czech Republic'!K$7+Denmark!K$13+France!K$18+Germany!K$13+Italy!K$12+Switzerland!K$11+Netherlands!K$5+UK!K$7+Poland!K$9</f>
        <v>186215.25</v>
      </c>
      <c r="L18" s="38">
        <f>Austria!L$13+Belgium!L$7+'Czech Republic'!L$7+Denmark!L$13+France!L$18+Germany!L$13+Italy!L$12+Switzerland!L$11+Netherlands!L$5+UK!L$7+Poland!L$9</f>
        <v>214713.7</v>
      </c>
      <c r="M18" s="38">
        <f>Austria!M$13+Belgium!M$7+'Czech Republic'!M$7+Denmark!M$13+France!M$18+Germany!M$13+Italy!M$12+Switzerland!M$11+Netherlands!M$5+UK!M$7+Poland!M$9</f>
        <v>229330.45</v>
      </c>
      <c r="N18" s="38">
        <f>Austria!N$13+Belgium!N$7+'Czech Republic'!N$7+Denmark!N$13+France!N$18+Germany!N$13+Italy!N$12+Switzerland!N$11+Netherlands!N$5+UK!N$7+Poland!N$9</f>
        <v>200488.3</v>
      </c>
      <c r="O18" s="38">
        <f>Austria!O$13+Belgium!O$7+'Czech Republic'!O$7+Denmark!O$13+France!O$18+Germany!O$13+Italy!O$12+Switzerland!O$11+Netherlands!O$5+UK!O$7+Poland!O$9</f>
        <v>179195.55</v>
      </c>
      <c r="P18" s="38">
        <f>Austria!P$13+Belgium!P$7+'Czech Republic'!P$7+Denmark!P$13+France!P$18+Germany!P$13+Italy!P$12+Switzerland!P$11+Netherlands!P$5+UK!P$7+Poland!P$9</f>
        <v>237160.09317885671</v>
      </c>
      <c r="Q18" s="38">
        <f>Austria!Q$13+Belgium!Q$7+'Czech Republic'!Q$7+Denmark!Q$13+France!Q$18+Germany!Q$13+Italy!Q$12+Switzerland!Q$11+Netherlands!Q$5+UK!Q$7+Poland!Q$9</f>
        <v>157041.10780404331</v>
      </c>
      <c r="R18" s="38">
        <f>Austria!R$13+Belgium!R$7+'Czech Republic'!R$7+Denmark!R$13+France!R$18+Germany!R$13+Italy!R$12+Switzerland!R$11+Netherlands!R$5+UK!R$7+Poland!R$9</f>
        <v>270205.66000000003</v>
      </c>
      <c r="S18" s="65">
        <f>Austria!S$13+Belgium!S$7+'Czech Republic'!S$7+Denmark!S$13+France!S$18+Germany!S$13+Italy!S$12+Switzerland!S$11+Netherlands!S$5+UK!S$7+Poland!S$9</f>
        <v>249973</v>
      </c>
      <c r="T18" s="1"/>
    </row>
    <row r="19" spans="1:105" x14ac:dyDescent="0.25">
      <c r="A19" s="40" t="s">
        <v>26</v>
      </c>
      <c r="B19" s="101">
        <f t="shared" si="0"/>
        <v>-0.42296148647100601</v>
      </c>
      <c r="C19" s="129">
        <f>E19-'[1]Europe - variety'!E19</f>
        <v>-5590</v>
      </c>
      <c r="D19" s="38">
        <f>F19-'[1]Europe - variety'!F19</f>
        <v>-3747</v>
      </c>
      <c r="E19" s="43">
        <f>Austria!E$14+Belgium!E$8+Denmark!E$14+Germany!E$14+UK!E$8</f>
        <v>25186</v>
      </c>
      <c r="F19" s="38">
        <f>Austria!F$14+Belgium!F$8+Denmark!F$14+Germany!F$14+UK!F$8</f>
        <v>43647</v>
      </c>
      <c r="G19" s="38">
        <f>Austria!G$14+Belgium!G$8+Denmark!G$14+Germany!G$14+UK!G$8</f>
        <v>36397</v>
      </c>
      <c r="H19" s="38">
        <f>Austria!H$14+Belgium!H$8+Denmark!H$14+Germany!H$14+UK!H$8</f>
        <v>51589</v>
      </c>
      <c r="I19" s="38">
        <f>Austria!I$14+Belgium!I$8+Denmark!I$14+Germany!I$14+UK!I$8</f>
        <v>77734</v>
      </c>
      <c r="J19" s="38">
        <f>Austria!J$14+Belgium!J$8+Denmark!J$14+Germany!J$14+UK!J$8</f>
        <v>20983</v>
      </c>
      <c r="K19" s="38">
        <f>Austria!K$14+Belgium!K$8+Denmark!K$14+Germany!K$14+UK!K$8</f>
        <v>70933.2</v>
      </c>
      <c r="L19" s="38">
        <f>Austria!L$14+Belgium!L$8+Denmark!L$14+Germany!L$14+UK!L$8</f>
        <v>77094</v>
      </c>
      <c r="M19" s="38">
        <f>Austria!M$14+Belgium!M$8+Denmark!M$14+Germany!M$14+UK!M$8</f>
        <v>97029.1</v>
      </c>
      <c r="N19" s="38">
        <f>Austria!N$14+Belgium!N$8+Denmark!N$14+Germany!N$14+UK!N$8</f>
        <v>59872.35</v>
      </c>
      <c r="O19" s="38">
        <f>Austria!O$14+Belgium!O$8+Denmark!O$14+Germany!O$14+UK!O$8</f>
        <v>75485.899999999994</v>
      </c>
      <c r="P19" s="38">
        <f>Austria!P$14+Belgium!P$8+Denmark!P$14+Germany!P$14+UK!P$8</f>
        <v>89190.6</v>
      </c>
      <c r="Q19" s="38">
        <f>Austria!Q$14+Belgium!Q$8+Denmark!Q$14+Germany!Q$14+UK!Q$8</f>
        <v>67581.684931768948</v>
      </c>
      <c r="R19" s="38">
        <f>Austria!R$14+Belgium!R$8+Denmark!R$14+Germany!R$14+UK!R$8</f>
        <v>90135</v>
      </c>
      <c r="S19" s="65">
        <f>Austria!S$14+Belgium!S$8+Denmark!S$14+Germany!S$14+UK!S$8</f>
        <v>83461</v>
      </c>
    </row>
    <row r="20" spans="1:105" x14ac:dyDescent="0.25">
      <c r="A20" s="40" t="s">
        <v>50</v>
      </c>
      <c r="B20" s="101"/>
      <c r="C20" s="129">
        <f>E20-'[1]Europe - variety'!E20</f>
        <v>0</v>
      </c>
      <c r="D20" s="38">
        <f>F20-'[1]Europe - variety'!F20</f>
        <v>0</v>
      </c>
      <c r="E20" s="43">
        <f>Italy!E$13</f>
        <v>0</v>
      </c>
      <c r="F20" s="38">
        <f>Italy!F$13</f>
        <v>0</v>
      </c>
      <c r="G20" s="38">
        <f>Italy!G$13</f>
        <v>0</v>
      </c>
      <c r="H20" s="38">
        <f>Italy!H$13</f>
        <v>0</v>
      </c>
      <c r="I20" s="38">
        <f>Italy!I$13</f>
        <v>0</v>
      </c>
      <c r="J20" s="38">
        <f>Italy!J$13</f>
        <v>0</v>
      </c>
      <c r="K20" s="38">
        <f>Italy!K$13</f>
        <v>0</v>
      </c>
      <c r="L20" s="38">
        <f>Italy!L$13</f>
        <v>0</v>
      </c>
      <c r="M20" s="38">
        <f>Italy!M$13</f>
        <v>12</v>
      </c>
      <c r="N20" s="38">
        <f>Italy!N$13</f>
        <v>0</v>
      </c>
      <c r="O20" s="38">
        <f>Italy!O$13</f>
        <v>0</v>
      </c>
      <c r="P20" s="38">
        <f>Italy!P$13</f>
        <v>2.0043852617596256</v>
      </c>
      <c r="Q20" s="38">
        <f>Italy!Q$13</f>
        <v>0</v>
      </c>
      <c r="R20" s="38">
        <f>Italy!R$13</f>
        <v>2</v>
      </c>
      <c r="S20" s="65">
        <f>Italy!S$13</f>
        <v>42</v>
      </c>
    </row>
    <row r="21" spans="1:105" x14ac:dyDescent="0.25">
      <c r="A21" s="40" t="s">
        <v>34</v>
      </c>
      <c r="B21" s="101"/>
      <c r="C21" s="129">
        <f>E21-'[1]Europe - variety'!E21</f>
        <v>0</v>
      </c>
      <c r="D21" s="38">
        <f>F21-'[1]Europe - variety'!F21</f>
        <v>0</v>
      </c>
      <c r="E21" s="43">
        <f>Poland!E$11</f>
        <v>0</v>
      </c>
      <c r="F21" s="38">
        <f>Poland!F$11</f>
        <v>0</v>
      </c>
      <c r="G21" s="38">
        <f>Poland!G$11</f>
        <v>0</v>
      </c>
      <c r="H21" s="38">
        <f>Poland!H$11</f>
        <v>0</v>
      </c>
      <c r="I21" s="38">
        <f>Poland!I$11</f>
        <v>0</v>
      </c>
      <c r="J21" s="38">
        <f>Poland!J$11</f>
        <v>0</v>
      </c>
      <c r="K21" s="38">
        <f>Poland!K$11</f>
        <v>0</v>
      </c>
      <c r="L21" s="38">
        <f>Poland!L$11</f>
        <v>0</v>
      </c>
      <c r="M21" s="38">
        <f>Poland!M$11</f>
        <v>0</v>
      </c>
      <c r="N21" s="38">
        <f>Poland!N$11</f>
        <v>0</v>
      </c>
      <c r="O21" s="38">
        <f>Poland!O$11</f>
        <v>0</v>
      </c>
      <c r="P21" s="38">
        <f>Poland!P$11</f>
        <v>500</v>
      </c>
      <c r="Q21" s="38">
        <f>Poland!Q$11</f>
        <v>15000</v>
      </c>
      <c r="R21" s="38">
        <f>Poland!R$11</f>
        <v>40000</v>
      </c>
      <c r="S21" s="65">
        <f>Poland!S$11</f>
        <v>15000</v>
      </c>
    </row>
    <row r="22" spans="1:105" x14ac:dyDescent="0.25">
      <c r="A22" s="40" t="s">
        <v>18</v>
      </c>
      <c r="B22" s="101">
        <f t="shared" si="0"/>
        <v>-0.2908989391401452</v>
      </c>
      <c r="C22" s="129">
        <f>E22-'[1]Europe - variety'!E22</f>
        <v>-2390</v>
      </c>
      <c r="D22" s="38">
        <f>F22-'[1]Europe - variety'!F22</f>
        <v>-2378</v>
      </c>
      <c r="E22" s="43">
        <f>Italy!E$14</f>
        <v>7620</v>
      </c>
      <c r="F22" s="38">
        <f>Italy!F$14</f>
        <v>10746</v>
      </c>
      <c r="G22" s="38">
        <f>Italy!G$14</f>
        <v>10891.4</v>
      </c>
      <c r="H22" s="38">
        <f>Italy!H$14</f>
        <v>7867</v>
      </c>
      <c r="I22" s="38">
        <f>Italy!I$14</f>
        <v>10759.900000000001</v>
      </c>
      <c r="J22" s="38">
        <f>Italy!J$14</f>
        <v>5840.4</v>
      </c>
      <c r="K22" s="38">
        <f>Italy!K$14</f>
        <v>11542.099999999999</v>
      </c>
      <c r="L22" s="38">
        <f>Italy!L$14</f>
        <v>13492.05</v>
      </c>
      <c r="M22" s="38">
        <f>Italy!M$14</f>
        <v>19319</v>
      </c>
      <c r="N22" s="38">
        <f>Italy!N$14</f>
        <v>15744</v>
      </c>
      <c r="O22" s="38">
        <f>Italy!O$14</f>
        <v>14963</v>
      </c>
      <c r="P22" s="38">
        <f>Italy!P$14</f>
        <v>9340.4353197998553</v>
      </c>
      <c r="Q22" s="38">
        <f>Italy!Q$14</f>
        <v>24617</v>
      </c>
      <c r="R22" s="38">
        <f>Italy!R$14</f>
        <v>14982.9</v>
      </c>
      <c r="S22" s="65">
        <f>Italy!S$14</f>
        <v>28339.9</v>
      </c>
    </row>
    <row r="23" spans="1:105" x14ac:dyDescent="0.25">
      <c r="A23" s="40" t="s">
        <v>13</v>
      </c>
      <c r="B23" s="101">
        <f t="shared" si="0"/>
        <v>0.16523886206932928</v>
      </c>
      <c r="C23" s="129">
        <f>E23-'[1]Europe - variety'!E23</f>
        <v>-15108.803927866742</v>
      </c>
      <c r="D23" s="38">
        <f>F23-'[1]Europe - variety'!F23</f>
        <v>-8682.1665213600791</v>
      </c>
      <c r="E23" s="43">
        <f>Austria!E$16+Denmark!E$16+Germany!E$15+Switzerland!E$14+Poland!E$12+Italy!E$15</f>
        <v>69769.84210526316</v>
      </c>
      <c r="F23" s="38">
        <f>Austria!F$16+Denmark!F$16+Germany!F$15+Switzerland!F$14+Poland!F$12+Italy!F$15</f>
        <v>59876</v>
      </c>
      <c r="G23" s="38">
        <f>Austria!G$16+Denmark!G$16+Germany!G$15+Switzerland!G$14+Poland!G$12+Italy!G$15</f>
        <v>55006.45</v>
      </c>
      <c r="H23" s="38">
        <f>Austria!H$16+Denmark!H$16+Germany!H$15+Switzerland!H$14+Poland!H$12+Italy!H$15</f>
        <v>37697.24</v>
      </c>
      <c r="I23" s="38">
        <f>Austria!I$16+Denmark!I$16+Germany!I$15+Switzerland!I$14+Poland!I$12+Italy!I$15</f>
        <v>49443.92</v>
      </c>
      <c r="J23" s="38">
        <f>Austria!J$16+Denmark!J$16+Germany!J$15+Switzerland!J$14+Poland!J$12</f>
        <v>8656</v>
      </c>
      <c r="K23" s="38">
        <f>Austria!K$16+Denmark!K$16+Germany!K$15+Switzerland!K$14+Poland!K$12</f>
        <v>13620.3</v>
      </c>
      <c r="L23" s="38">
        <f>Austria!L$16+Denmark!L$16+Germany!L$15+Switzerland!L$14+Poland!L$12</f>
        <v>15813</v>
      </c>
      <c r="M23" s="38">
        <f>Austria!M$16+Denmark!M$16+Germany!M$15+Switzerland!M$14+Poland!M$12</f>
        <v>15962.4</v>
      </c>
      <c r="N23" s="38">
        <f>Austria!N$16+Denmark!N$16+Germany!N$15+Switzerland!N$14+Poland!N$12</f>
        <v>15219.5</v>
      </c>
      <c r="O23" s="38">
        <f>Austria!O$16+Denmark!O$16+Germany!O$15+Switzerland!O$14+Poland!O$12</f>
        <v>9534.9500000000007</v>
      </c>
      <c r="P23" s="38">
        <f>Austria!P$16+Denmark!P$16+Germany!P$15+Switzerland!P$14+Poland!P$12</f>
        <v>9428.4500000000007</v>
      </c>
      <c r="Q23" s="38">
        <f>Austria!Q$16+Denmark!Q$16+Germany!Q$15+Switzerland!Q$14+Poland!Q$12</f>
        <v>8159</v>
      </c>
      <c r="R23" s="38">
        <f>Austria!R$16+Denmark!R$16+Germany!R$15+Switzerland!R$14+Poland!R$12</f>
        <v>12602</v>
      </c>
      <c r="S23" s="65">
        <f>Austria!S$16+Denmark!S$16+Germany!S$15+Switzerland!S$14+Poland!S$12</f>
        <v>8109</v>
      </c>
    </row>
    <row r="24" spans="1:105" x14ac:dyDescent="0.25">
      <c r="A24" s="40" t="s">
        <v>19</v>
      </c>
      <c r="B24" s="101">
        <f t="shared" si="0"/>
        <v>0.11965921192758254</v>
      </c>
      <c r="C24" s="129">
        <f>E24-'[1]Europe - variety'!E24</f>
        <v>-46259.422046182095</v>
      </c>
      <c r="D24" s="38">
        <f>F24-'[1]Europe - variety'!F24</f>
        <v>-31664.987487278966</v>
      </c>
      <c r="E24" s="43">
        <f>'Czech Republic'!E$8+France!E$19+Italy!E$16+Spain!E$6+Poland!E$13</f>
        <v>131420</v>
      </c>
      <c r="F24" s="38">
        <f>'Czech Republic'!F$8+France!F$19+Italy!F$16+Spain!F$6+Poland!F$13</f>
        <v>117375</v>
      </c>
      <c r="G24" s="38">
        <f>'Czech Republic'!G$8+France!G$19+Italy!G$16+Spain!G$6+Poland!G$13</f>
        <v>126609.93471618235</v>
      </c>
      <c r="H24" s="38">
        <f>'Czech Republic'!H$8+France!H$19+Italy!H$16+Spain!H$6+Poland!H$13</f>
        <v>106103.25387847003</v>
      </c>
      <c r="I24" s="38">
        <f>'Czech Republic'!I$8+France!I$19+Italy!I$16+Spain!I$6+Poland!I$13</f>
        <v>125966.61</v>
      </c>
      <c r="J24" s="38">
        <f>'Czech Republic'!J$8+France!J$19+Italy!J$16+Spain!J$6+Poland!J$13</f>
        <v>78891.01999999999</v>
      </c>
      <c r="K24" s="38">
        <f>'Czech Republic'!K$8+France!K$19+Italy!K$16+Spain!K$6+Poland!K$13</f>
        <v>120126.83116289748</v>
      </c>
      <c r="L24" s="38">
        <f>'Czech Republic'!L$8+France!L$19+Italy!L$16+Spain!L$6+Poland!L$13</f>
        <v>110386.74</v>
      </c>
      <c r="M24" s="38">
        <f>'Czech Republic'!M$8+France!M$19+Italy!M$16+Spain!M$6+Poland!M$13</f>
        <v>104464.63257713092</v>
      </c>
      <c r="N24" s="38">
        <f>'Czech Republic'!N$8+France!N$19+Italy!N$16+Spain!N$6+Poland!N$13</f>
        <v>108360.60030713737</v>
      </c>
      <c r="O24" s="38">
        <f>'Czech Republic'!O$8+France!O$19+Italy!O$16+Spain!O$6+Poland!O$13</f>
        <v>71106.038454879163</v>
      </c>
      <c r="P24" s="38">
        <f>'Czech Republic'!P$8+France!P$19+Italy!P$16+Spain!P$6+Poland!P$13</f>
        <v>90740.853879235699</v>
      </c>
      <c r="Q24" s="38">
        <f>'Czech Republic'!Q$8+France!Q$19+Italy!Q$16+Spain!Q$6+Poland!Q$13</f>
        <v>99811.403543121589</v>
      </c>
      <c r="R24" s="38">
        <f>'Czech Republic'!R$8+France!R$19+Italy!R$16+Spain!R$6+Poland!R$13</f>
        <v>123147.75552109884</v>
      </c>
      <c r="S24" s="65">
        <f>'Czech Republic'!S$8+France!S$19+Italy!S$16+Spain!S$6+Poland!S$13</f>
        <v>102101.8</v>
      </c>
    </row>
    <row r="25" spans="1:105" x14ac:dyDescent="0.25">
      <c r="A25" s="40" t="s">
        <v>134</v>
      </c>
      <c r="B25" s="101">
        <f t="shared" si="0"/>
        <v>0.13406520799979671</v>
      </c>
      <c r="C25" s="129">
        <f>E25-'[1]Europe - variety'!E25</f>
        <v>-46890.289160127868</v>
      </c>
      <c r="D25" s="38">
        <f>F25-'[1]Europe - variety'!F25</f>
        <v>-22803.399302528327</v>
      </c>
      <c r="E25" s="43">
        <f>Germany!E$16+Austria!E$17+Poland!E$14</f>
        <v>223133</v>
      </c>
      <c r="F25" s="38">
        <f>Germany!F$16+Austria!F$17+Poland!F$14</f>
        <v>196755</v>
      </c>
      <c r="G25" s="38">
        <f>Germany!G$16+Austria!G$17+Poland!G$14</f>
        <v>127771.3</v>
      </c>
      <c r="H25" s="38">
        <f>Germany!H$16+Austria!H$17+Poland!H$14</f>
        <v>95075.68</v>
      </c>
      <c r="I25" s="38">
        <f>Germany!I$16+Austria!I$17+Poland!I$14</f>
        <v>58252.6</v>
      </c>
      <c r="J25" s="38">
        <f>Germany!J$16+Austria!J$17</f>
        <v>34743</v>
      </c>
      <c r="K25" s="38">
        <f>Germany!K$16</f>
        <v>51419</v>
      </c>
      <c r="L25" s="38">
        <f>Germany!L$16</f>
        <v>30421</v>
      </c>
      <c r="M25" s="38">
        <f>Germany!M$16</f>
        <v>29472</v>
      </c>
      <c r="N25" s="38">
        <f>Germany!N$16</f>
        <v>13657</v>
      </c>
      <c r="O25" s="38">
        <f>Germany!O$16</f>
        <v>21503</v>
      </c>
      <c r="P25" s="38">
        <f>Germany!P$16</f>
        <v>15738</v>
      </c>
      <c r="Q25" s="38">
        <f>Germany!Q$16</f>
        <v>11201</v>
      </c>
      <c r="R25" s="38">
        <f>Germany!R$16</f>
        <v>14449</v>
      </c>
      <c r="S25" s="65">
        <f>Germany!S$16</f>
        <v>9322</v>
      </c>
    </row>
    <row r="26" spans="1:105" s="4" customFormat="1" ht="13.8" thickBot="1" x14ac:dyDescent="0.3">
      <c r="A26" s="40" t="s">
        <v>123</v>
      </c>
      <c r="B26" s="101">
        <f t="shared" si="0"/>
        <v>0.22185887282203259</v>
      </c>
      <c r="C26" s="129">
        <f>E26-'[1]Europe - variety'!E26</f>
        <v>-8162</v>
      </c>
      <c r="D26" s="38">
        <f>F26-'[1]Europe - variety'!F26</f>
        <v>-5730</v>
      </c>
      <c r="E26" s="43">
        <f>France!E$21+France!E$20+Italy!E$17+Switzerland!E$12</f>
        <v>23913</v>
      </c>
      <c r="F26" s="38">
        <f>France!F$21+France!F$20+Italy!F$17+Switzerland!F$12</f>
        <v>19571</v>
      </c>
      <c r="G26" s="38">
        <f>France!G$21+France!G$20+Italy!G$17+Switzerland!G$12</f>
        <v>24481.86</v>
      </c>
      <c r="H26" s="38">
        <f>France!H$21+France!H$20+Italy!H$17+Switzerland!H$12</f>
        <v>17331</v>
      </c>
      <c r="I26" s="38">
        <f>France!I$21+France!I$20+Italy!I$17+Switzerland!I$12</f>
        <v>23459.9</v>
      </c>
      <c r="J26" s="38">
        <f>France!J$21+France!J$20+Italy!J$17+Switzerland!J$12</f>
        <v>5944</v>
      </c>
      <c r="K26" s="38">
        <f>France!K$21+France!K$20+Italy!K$17+Switzerland!K$12</f>
        <v>17452.900000000001</v>
      </c>
      <c r="L26" s="38">
        <f>France!L$21+France!L$20+Italy!L$17+Switzerland!L$12</f>
        <v>18998.900000000001</v>
      </c>
      <c r="M26" s="38">
        <f>France!M$21+France!M$20+Italy!M$17+Switzerland!M$12</f>
        <v>18444</v>
      </c>
      <c r="N26" s="38">
        <f>France!N$21+France!N$20+Italy!N$17+Switzerland!N$12</f>
        <v>22113</v>
      </c>
      <c r="O26" s="38">
        <f>France!O$21+France!O$20+Italy!O$17+Switzerland!O$12</f>
        <v>7163</v>
      </c>
      <c r="P26" s="38">
        <f>France!P$21+France!P$20+Italy!P$17+Switzerland!P$12</f>
        <v>17020.813734861626</v>
      </c>
      <c r="Q26" s="38">
        <f>France!Q$21+France!Q$20+Italy!Q$17+Switzerland!Q$12</f>
        <v>18912</v>
      </c>
      <c r="R26" s="38">
        <f>France!R$21+France!R$20+Italy!R$17+Switzerland!R$12</f>
        <v>16711.91</v>
      </c>
      <c r="S26" s="65">
        <f>France!S$21+France!S$20+Italy!S$17+Switzerland!S$12</f>
        <v>4488.5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</row>
    <row r="27" spans="1:105" x14ac:dyDescent="0.25">
      <c r="A27" s="40" t="s">
        <v>89</v>
      </c>
      <c r="B27" s="101">
        <f t="shared" si="0"/>
        <v>-0.27393684210526315</v>
      </c>
      <c r="C27" s="129">
        <f>E27-'[1]Europe - variety'!E27</f>
        <v>-25348</v>
      </c>
      <c r="D27" s="38">
        <f>F27-'[1]Europe - variety'!F27</f>
        <v>-16228</v>
      </c>
      <c r="E27" s="43">
        <f>'Czech Republic'!E$9+Germany!E$17+Poland!E$15</f>
        <v>60354</v>
      </c>
      <c r="F27" s="38">
        <f>'Czech Republic'!F$9+Germany!F$17+Poland!F$15</f>
        <v>83125</v>
      </c>
      <c r="G27" s="38">
        <f>'Czech Republic'!G$9+Germany!G$17+Poland!G$15</f>
        <v>81474</v>
      </c>
      <c r="H27" s="38">
        <f>'Czech Republic'!H$9+Germany!H$17+Poland!H$15</f>
        <v>60375</v>
      </c>
      <c r="I27" s="38">
        <f>'Czech Republic'!I$9+Germany!I$17+Poland!I$15</f>
        <v>131408</v>
      </c>
      <c r="J27" s="38">
        <f>'Czech Republic'!J$9+Germany!J$17+Poland!J$15</f>
        <v>60370</v>
      </c>
      <c r="K27" s="38">
        <f>'Czech Republic'!K$9+Germany!K$17+Poland!K$15</f>
        <v>111929</v>
      </c>
      <c r="L27" s="38">
        <f>'Czech Republic'!L$9+Germany!L$17+Poland!L$15</f>
        <v>112512</v>
      </c>
      <c r="M27" s="38">
        <f>'Czech Republic'!M$9+Germany!M$17+Poland!M$15</f>
        <v>102032</v>
      </c>
      <c r="N27" s="38">
        <f>'Czech Republic'!N$9+Germany!N$17+Poland!N$15</f>
        <v>110218</v>
      </c>
      <c r="O27" s="38">
        <f>'Czech Republic'!O$9+Germany!O$17+Poland!O$15</f>
        <v>81900</v>
      </c>
      <c r="P27" s="38">
        <f>'Czech Republic'!P$9+Germany!P$17+Poland!P$15</f>
        <v>81894</v>
      </c>
      <c r="Q27" s="38">
        <f>'Czech Republic'!Q$9+Germany!Q$17+Poland!Q$15</f>
        <v>40901</v>
      </c>
      <c r="R27" s="38">
        <f>'Czech Republic'!R$9+Germany!R$17+Poland!R$15</f>
        <v>31036</v>
      </c>
      <c r="S27" s="65">
        <f>'Czech Republic'!S$9+Germany!S$17+Poland!S$15</f>
        <v>36131</v>
      </c>
    </row>
    <row r="28" spans="1:105" x14ac:dyDescent="0.25">
      <c r="A28" s="40" t="s">
        <v>21</v>
      </c>
      <c r="B28" s="101"/>
      <c r="C28" s="129">
        <f>E28-'[1]Europe - variety'!E28</f>
        <v>0</v>
      </c>
      <c r="D28" s="38">
        <f>F28-'[1]Europe - variety'!F28</f>
        <v>0</v>
      </c>
      <c r="E28" s="43">
        <f>Italy!E$18</f>
        <v>0</v>
      </c>
      <c r="F28" s="38">
        <f>Italy!F$18</f>
        <v>0</v>
      </c>
      <c r="G28" s="38">
        <f>Italy!G$18</f>
        <v>0</v>
      </c>
      <c r="H28" s="38">
        <f>Italy!H$18</f>
        <v>0</v>
      </c>
      <c r="I28" s="38">
        <f>Italy!I$18</f>
        <v>2480.0500000000002</v>
      </c>
      <c r="J28" s="38">
        <f>Italy!J$18</f>
        <v>1695.01</v>
      </c>
      <c r="K28" s="38">
        <f>Italy!K$18</f>
        <v>6154.4000000000005</v>
      </c>
      <c r="L28" s="38">
        <f>Italy!L$18</f>
        <v>6027.4</v>
      </c>
      <c r="M28" s="38">
        <f>Italy!M$18</f>
        <v>6896</v>
      </c>
      <c r="N28" s="38">
        <f>Italy!N$18</f>
        <v>4531</v>
      </c>
      <c r="O28" s="38">
        <f>Italy!O$18</f>
        <v>2000</v>
      </c>
      <c r="P28" s="38">
        <f>Italy!P$18</f>
        <v>5371.7525015157962</v>
      </c>
      <c r="Q28" s="38">
        <f>Italy!Q$18</f>
        <v>0</v>
      </c>
      <c r="R28" s="38">
        <f>Italy!R$18</f>
        <v>3539.44</v>
      </c>
      <c r="S28" s="65">
        <f>Italy!S$18</f>
        <v>4640</v>
      </c>
    </row>
    <row r="29" spans="1:105" x14ac:dyDescent="0.25">
      <c r="A29" s="40" t="s">
        <v>35</v>
      </c>
      <c r="B29" s="101"/>
      <c r="C29" s="129">
        <f>E29-'[1]Europe - variety'!E29</f>
        <v>0</v>
      </c>
      <c r="D29" s="38">
        <f>F29-'[1]Europe - variety'!F29</f>
        <v>0</v>
      </c>
      <c r="E29" s="43">
        <f>'Czech Republic'!E$10+UK!E$9+Poland!E$16+Denmark!E$17</f>
        <v>0</v>
      </c>
      <c r="F29" s="38">
        <f>'Czech Republic'!F$10+UK!F$9+Poland!F$16+Denmark!F$17</f>
        <v>0</v>
      </c>
      <c r="G29" s="38">
        <f>'Czech Republic'!G$10+UK!G$9+Poland!G$16+Denmark!G$17</f>
        <v>327</v>
      </c>
      <c r="H29" s="38">
        <f>'Czech Republic'!H$10+UK!H$9+Poland!H$16+Denmark!H$17</f>
        <v>110</v>
      </c>
      <c r="I29" s="38">
        <f>'Czech Republic'!I$10+UK!I$9+Poland!I$16+Denmark!I$17</f>
        <v>35099</v>
      </c>
      <c r="J29" s="38">
        <f>'Czech Republic'!J$10+UK!J$9+Poland!J$16+Denmark!J$17</f>
        <v>0</v>
      </c>
      <c r="K29" s="38">
        <f>'Czech Republic'!K$10+UK!K$9+Poland!K$16+Denmark!K$17</f>
        <v>11</v>
      </c>
      <c r="L29" s="38">
        <f>'Czech Republic'!L$10+UK!L$9+Poland!L$16+Denmark!L$17</f>
        <v>25</v>
      </c>
      <c r="M29" s="38">
        <f>'Czech Republic'!M$10+UK!M$9+Poland!M$16+Denmark!M$17</f>
        <v>0</v>
      </c>
      <c r="N29" s="38">
        <f>'Czech Republic'!N$10+UK!N$9+Poland!N$16+Denmark!N$17</f>
        <v>0</v>
      </c>
      <c r="O29" s="38">
        <f>'Czech Republic'!O$10+UK!O$9+Poland!O$16+Denmark!O$17</f>
        <v>64</v>
      </c>
      <c r="P29" s="38">
        <f>'Czech Republic'!P$10+UK!P$9+Poland!P$16+Denmark!P$17</f>
        <v>5</v>
      </c>
      <c r="Q29" s="38">
        <f>'Czech Republic'!Q$10+UK!Q$9+Poland!Q$16+Denmark!Q$17</f>
        <v>2</v>
      </c>
      <c r="R29" s="38">
        <f>'Czech Republic'!R$10+UK!R$9+Poland!R$16+Denmark!R$17</f>
        <v>1058</v>
      </c>
      <c r="S29" s="65">
        <f>'Czech Republic'!S$10+UK!S$9+Poland!S$16+Denmark!S$17</f>
        <v>2011</v>
      </c>
    </row>
    <row r="30" spans="1:105" x14ac:dyDescent="0.25">
      <c r="A30" s="40" t="s">
        <v>124</v>
      </c>
      <c r="B30" s="101">
        <f t="shared" si="0"/>
        <v>4.5714836508342446E-2</v>
      </c>
      <c r="C30" s="129">
        <f>E30-'[1]Europe - variety'!E30</f>
        <v>-20529.758179231867</v>
      </c>
      <c r="D30" s="38">
        <f>F30-'[1]Europe - variety'!F30</f>
        <v>-20392.416785206267</v>
      </c>
      <c r="E30" s="43">
        <f>Austria!E$6+Denmark!E$18+France!E$2+France!E$24+France!E$17+France!E$15+France!E$13+Switzerland!E$17+UK!E$10+Germany!E$19+Netherlands!E$6</f>
        <v>110202.05263157895</v>
      </c>
      <c r="F30" s="38">
        <f>Austria!F$6+Denmark!F$18+France!F$2+France!F$24+France!F$17+France!F$15+France!F$13+Switzerland!F$17+UK!F$10+Germany!F$19+Netherlands!F$6</f>
        <v>105384.42105263157</v>
      </c>
      <c r="G30" s="38">
        <f>Austria!G$6+Denmark!G$18+France!G$2+France!G$24+France!G$17+France!G$15+France!G$13+Switzerland!G$17+UK!G$10+Germany!G$19+Netherlands!G$6</f>
        <v>90383.1</v>
      </c>
      <c r="H30" s="38">
        <f>Austria!H$6+Denmark!H$18+France!H$2+France!H$24+France!H$17+France!H$15+France!H$13+Switzerland!H$17+UK!H$10+Germany!H$19+Netherlands!H$6</f>
        <v>82838.080000000002</v>
      </c>
      <c r="I30" s="38">
        <f>Austria!I$6+Denmark!I$18+France!I$2+France!I$24+France!I$17+France!I$15+France!I$13+Switzerland!I$17+UK!I$10+Germany!I$19+Netherlands!I$6</f>
        <v>94232.15</v>
      </c>
      <c r="J30" s="38">
        <f>Austria!J$6+Denmark!J$18+France!J$2+France!J$24+France!J$17+France!J$15+France!J$13+Switzerland!J$17+UK!J$10+Germany!J$19+Netherlands!J$6</f>
        <v>53173</v>
      </c>
      <c r="K30" s="38">
        <f>Austria!K$6+Denmark!K$18+France!K$2+France!K$24+France!K$17+France!K$15+France!K$13+Switzerland!K$17+UK!K$10+Germany!K$19+Netherlands!K$6</f>
        <v>71557.75</v>
      </c>
      <c r="L30" s="38">
        <f>Austria!L$6+Denmark!L$18+France!L$2+France!L$24+France!L$17+France!L$15+France!L$13+Switzerland!L$17+UK!L$10+Germany!L$19+Netherlands!L$6</f>
        <v>73064</v>
      </c>
      <c r="M30" s="38">
        <f>Austria!M$6+Denmark!M$18+France!M$2+France!M$24+France!M$17+France!M$15+France!M$13+Switzerland!M$17+UK!M$10+Germany!M$19+Netherlands!M$6</f>
        <v>78703.45</v>
      </c>
      <c r="N30" s="38">
        <f>Austria!N$6+Denmark!N$18+France!N$2+France!N$24+France!N$17+France!N$15+France!N$13+Switzerland!N$17+UK!N$10+Germany!N$19+Netherlands!N$6</f>
        <v>66584.350000000006</v>
      </c>
      <c r="O30" s="38">
        <f>Austria!O$6+Denmark!O$18+France!O$2+France!O$24+France!O$17+France!O$15+France!O$13+Switzerland!O$17+UK!O$10+Germany!O$19+Netherlands!O$6</f>
        <v>32597.200000000001</v>
      </c>
      <c r="P30" s="38">
        <f>Austria!P$6+Denmark!P$18+France!P$2+France!P$24+France!P$17+France!P$15+France!P$13+Switzerland!P$17+UK!P$10+Germany!P$19+Netherlands!P$6</f>
        <v>36909.699999999997</v>
      </c>
      <c r="Q30" s="38">
        <f>Austria!Q$6+Denmark!Q$18+France!Q$2+France!Q$24+France!Q$17+France!Q$15+France!Q$13+Switzerland!Q$17+UK!Q$10+Germany!Q$19+Netherlands!Q$6</f>
        <v>29269</v>
      </c>
      <c r="R30" s="38">
        <f>Austria!R$6+Denmark!R$18+France!R$2+France!R$24+France!R$17+France!R$15+France!R$13+Switzerland!R$17+UK!R$10+Germany!R$19+Netherlands!R$6</f>
        <v>31958</v>
      </c>
      <c r="S30" s="65">
        <f>Austria!S$6+Denmark!S$18+France!S$2+France!S$24+France!S$17+France!S$15+France!S$13+Switzerland!S$17+UK!S$10+Germany!S$19+Netherlands!S$6</f>
        <v>2718</v>
      </c>
    </row>
    <row r="31" spans="1:105" ht="13.8" thickBot="1" x14ac:dyDescent="0.3">
      <c r="A31" s="40" t="s">
        <v>6</v>
      </c>
      <c r="B31" s="101">
        <f t="shared" si="0"/>
        <v>4.4846787111717697E-2</v>
      </c>
      <c r="C31" s="129">
        <f>E31-'[1]Europe - variety'!E31</f>
        <v>-124485.69105523179</v>
      </c>
      <c r="D31" s="38">
        <f>F31-'[1]Europe - variety'!F31</f>
        <v>-110831.81907921506</v>
      </c>
      <c r="E31" s="43">
        <f>Austria!E$2+Austria!E$15+Austria!E$18+Austria!E$19+Austria!E$20+Belgium!E$9+'Czech Republic'!E$11+Denmark!E$3+Denmark!E$15+Denmark!E$12+Denmark!E$19+Germany!E$12+Germany!E$18+Germany!E$20+Italy!E$19+Spain!E$7+Switzerland!E$7+Switzerland!E$13+Switzerland!E$15+Switzerland!E$16+Switzerland!E$18+Netherlands!E$7+UK!E$11+France!E$3+France!E$7+France!E$22+France!E$23+France!E$25+Poland!E$10+Poland!E$17</f>
        <v>312919.78947368421</v>
      </c>
      <c r="F31" s="38">
        <f>Austria!F$2+Austria!F$15+Austria!F$18+Austria!F$19+Austria!F$20+Belgium!F$9+'Czech Republic'!F$11+Denmark!F$3+Denmark!F$15+Denmark!F$12+Denmark!F$19+Germany!F$12+Germany!F$18+Germany!F$20+Italy!F$19+Spain!F$7+Switzerland!F$7+Switzerland!F$13+Switzerland!F$15+Switzerland!F$16+Switzerland!F$18+Netherlands!F$7+UK!F$11+France!F$3+France!F$7+France!F$22+France!F$23+France!F$25+Poland!F$10+Poland!F$17</f>
        <v>299488.68421052629</v>
      </c>
      <c r="G31" s="38">
        <f>Austria!G$2+Austria!G$15+Austria!G$18+Austria!G$19+Austria!G$20+Belgium!G$9+'Czech Republic'!G$11+Denmark!G$3+Denmark!G$15+Denmark!G$12+Denmark!G$19+Germany!G$12+Germany!G$18+Germany!G$20+Italy!G$19+Spain!G$7+Switzerland!G$7+Switzerland!G$13+Switzerland!G$15+Switzerland!G$16+Switzerland!G$18+Netherlands!G$7+UK!G$11+France!G$3+France!G$7+France!G$22+France!G$23+France!G$25+Poland!G$10+Poland!G$17</f>
        <v>361451.05</v>
      </c>
      <c r="H31" s="38">
        <f>Austria!H$2+Austria!H$15+Austria!H$18+Austria!H$19+Austria!H$20+Belgium!H$9+'Czech Republic'!H$11+Denmark!H$3+Denmark!H$15+Denmark!H$12+Denmark!H$19+Germany!H$12+Germany!H$18+Germany!H$20+Italy!H$19+Spain!H$7+Switzerland!H$7+Switzerland!H$13+Switzerland!H$15+Switzerland!H$16+Switzerland!H$18+Netherlands!H$7+UK!H$11+France!H$3+France!H$7+France!H$22+France!H$23+France!H$25+Poland!H$10+Poland!H$17</f>
        <v>184040.9</v>
      </c>
      <c r="I31" s="38">
        <f>Austria!I$2+Austria!I$15+Austria!I$18+Austria!I$19+Austria!I$20+Belgium!I$9+'Czech Republic'!I$11+Denmark!I$3+Denmark!I$15+Denmark!I$12+Denmark!I$19+Germany!I$12+Germany!I$18+Germany!I$20+Italy!I$19+Spain!I$7+Switzerland!I$7+Switzerland!I$13+Switzerland!I$15+Switzerland!I$16+Switzerland!I$18+Netherlands!I$7+UK!I$11+France!I$3+France!I$7+France!I$22+France!I$23+France!I$25+Poland!I$10+Poland!I$17</f>
        <v>383831.55</v>
      </c>
      <c r="J31" s="38">
        <f>Austria!J$2+Austria!J$15+Austria!J$18+Austria!J$19+Austria!J$20+Belgium!J$9+'Czech Republic'!J$11+Denmark!J$3+Denmark!J$15+Denmark!J$12+Denmark!J$19+Germany!J$12+Germany!J$18+Germany!J$20+Italy!J$19+Spain!J$7+Switzerland!J$7+Switzerland!J$13+Switzerland!J$15+Switzerland!J$16+Switzerland!J$18+Netherlands!J$7+UK!J$11+France!J$3+France!J$7+France!J$22+France!J$23+France!J$25+Poland!J$10+Poland!J$17</f>
        <v>168557.48</v>
      </c>
      <c r="K31" s="38">
        <f>Austria!K$2+Austria!K$15+Austria!K$18+Austria!K$19+Austria!K$20+Belgium!K$9+'Czech Republic'!K$11+Denmark!K$3+Denmark!K$15+Denmark!K$12+Denmark!K$19+Germany!K$12+Germany!K$18+Germany!K$20+Italy!K$19+Spain!K$7+Switzerland!K$7+Switzerland!K$13+Switzerland!K$15+Switzerland!K$16+Switzerland!K$18+Netherlands!K$7+UK!K$11+France!K$3+France!K$7+France!K$22+France!K$23+France!K$25+Poland!K$10+Poland!K$17</f>
        <v>309595.9375</v>
      </c>
      <c r="L31" s="38">
        <f>Austria!L$2+Austria!L$15+Austria!L$18+Austria!L$19+Austria!L$20+Belgium!L$9+'Czech Republic'!L$11+Denmark!L$3+Denmark!L$15+Denmark!L$12+Denmark!L$19+Germany!L$12+Germany!L$18+Germany!L$20+Italy!L$19+Spain!L$7+Switzerland!L$7+Switzerland!L$13+Switzerland!L$15+Switzerland!L$16+Switzerland!L$18+Netherlands!L$7+UK!L$11+France!L$3+France!L$7+France!L$22+France!L$23+France!L$25+Poland!L$10+Poland!L$17</f>
        <v>310670.09999999998</v>
      </c>
      <c r="M31" s="38">
        <f>Austria!M$2+Austria!M$15+Austria!M$18+Austria!M$19+Austria!M$20+Belgium!M$9+'Czech Republic'!M$11+Denmark!M$3+Denmark!M$15+Denmark!M$12+Denmark!M$19+Germany!M$12+Germany!M$18+Germany!M$20+Italy!M$19+Spain!M$7+Switzerland!M$7+Switzerland!M$13+Switzerland!M$15+Switzerland!M$16+Switzerland!M$18+Netherlands!M$7+UK!M$11+France!M$3+France!M$7+France!M$22+France!M$23+France!M$25+Poland!M$10+Poland!M$17</f>
        <v>275106.03200000001</v>
      </c>
      <c r="N31" s="38">
        <f>Austria!N$2+Austria!N$15+Austria!N$18+Austria!N$19+Austria!N$20+Belgium!N$9+'Czech Republic'!N$11+Denmark!N$3+Denmark!N$15+Denmark!N$12+Denmark!N$19+Germany!N$12+Germany!N$18+Germany!N$20+Italy!N$19+Spain!N$7+Switzerland!N$7+Switzerland!N$13+Switzerland!N$15+Switzerland!N$16+Switzerland!N$18+Netherlands!N$7+UK!N$11+France!N$3+France!N$7+France!N$22+France!N$23+France!N$25+Poland!N$10+Poland!N$17</f>
        <v>239685.63699999999</v>
      </c>
      <c r="O31" s="38">
        <f>Austria!O$2+Austria!O$15+Austria!O$18+Austria!O$19+Austria!O$20+Belgium!O$9+'Czech Republic'!O$11+Denmark!O$3+Denmark!O$15+Denmark!O$12+Denmark!O$19+Germany!O$12+Germany!O$18+Germany!O$20+Italy!O$19+Spain!O$7+Switzerland!O$7+Switzerland!O$13+Switzerland!O$15+Switzerland!O$16+Switzerland!O$18+Netherlands!O$7+UK!O$11+France!O$3+France!O$7+France!O$22+France!O$23+France!O$25+Poland!O$10+Poland!O$17</f>
        <v>215288.53</v>
      </c>
      <c r="P31" s="38">
        <f>Austria!P$2+Austria!P$15+Austria!P$18+Austria!P$19+Austria!P$20+Belgium!P$9+'Czech Republic'!P$11+Denmark!P$3+Denmark!P$15+Denmark!P$12+Denmark!P$19+Germany!P$12+Germany!P$18+Germany!P$20+Italy!P$19+Spain!P$7+Switzerland!P$7+Switzerland!P$13+Switzerland!P$15+Switzerland!P$16+Switzerland!P$18+Netherlands!P$7+UK!P$11+France!P$3+France!P$7+France!P$22+France!P$23+France!P$25+Poland!P$10+Poland!P$17</f>
        <v>248324.06653613743</v>
      </c>
      <c r="Q31" s="38">
        <f>Austria!Q$2+Austria!Q$15+Austria!Q$18+Austria!Q$19+Austria!Q$20+Belgium!Q$9+'Czech Republic'!Q$11+Denmark!Q$3+Denmark!Q$15+Denmark!Q$12+Denmark!Q$19+Germany!Q$12+Germany!Q$18+Germany!Q$20+Italy!Q$19+Spain!Q$7+Switzerland!Q$7+Switzerland!Q$13+Switzerland!Q$15+Switzerland!Q$16+Switzerland!Q$18+Netherlands!Q$7+UK!Q$11+France!Q$3+France!Q$7+France!Q$22+France!Q$23+France!Q$25+Poland!Q$10+Poland!Q$17</f>
        <v>127904.05676101083</v>
      </c>
      <c r="R31" s="38">
        <f>Austria!R$2+Austria!R$15+Austria!R$18+Austria!R$19+Austria!R$20+Belgium!R$9+'Czech Republic'!R$11+Denmark!R$3+Denmark!R$15+Denmark!R$12+Denmark!R$19+Germany!R$12+Germany!R$18+Germany!R$20+Italy!R$19+Spain!R$7+Switzerland!R$7+Switzerland!R$13+Switzerland!R$15+Switzerland!R$16+Switzerland!R$18+Netherlands!R$7+UK!R$11+France!R$3+France!R$7+France!R$22+France!R$23+France!R$25+Poland!R$10+Poland!R$17</f>
        <v>141059.84999999998</v>
      </c>
      <c r="S31" s="65">
        <f>Austria!S$2+Austria!S$15+Austria!S$18+Austria!S$19+Austria!S$20+Belgium!S$9+'Czech Republic'!S$11+Denmark!S$3+Denmark!S$15+Denmark!S$12+Denmark!S$19+Germany!S$12+Germany!S$18+Germany!S$20+Italy!S$19+Spain!S$7+Switzerland!S$7+Switzerland!S$13+Switzerland!S$15+Switzerland!S$16+Switzerland!S$18+Netherlands!S$7+UK!S$11+France!S$3+France!S$7+France!S$22+France!S$23+France!S$25+Poland!S$10+Poland!S$17</f>
        <v>89757</v>
      </c>
      <c r="U31" s="3"/>
    </row>
    <row r="32" spans="1:105" ht="13.8" thickBot="1" x14ac:dyDescent="0.3">
      <c r="A32" s="39" t="s">
        <v>92</v>
      </c>
      <c r="B32" s="138">
        <f t="shared" si="0"/>
        <v>-0.1096553518026735</v>
      </c>
      <c r="C32" s="70">
        <f>E32-'[1]Europe - variety'!E32</f>
        <v>-763565.67836526874</v>
      </c>
      <c r="D32" s="46">
        <f>F32-'[1]Europe - variety'!F32</f>
        <v>-671017.73847414088</v>
      </c>
      <c r="E32" s="45">
        <f>SUM(E2:E31)</f>
        <v>2614017.2105263155</v>
      </c>
      <c r="F32" s="46">
        <f>SUM(F2:F31)</f>
        <v>2935961.0526315789</v>
      </c>
      <c r="G32" s="46">
        <f>SUM(G2:G31)</f>
        <v>2703368.0151766618</v>
      </c>
      <c r="H32" s="46">
        <f t="shared" ref="H32:M32" si="1">SUM(H2:H31)</f>
        <v>2445933.5091001648</v>
      </c>
      <c r="I32" s="46">
        <f t="shared" si="1"/>
        <v>3083909.8499999992</v>
      </c>
      <c r="J32" s="46">
        <f t="shared" si="1"/>
        <v>1781016.04</v>
      </c>
      <c r="K32" s="46">
        <f t="shared" si="1"/>
        <v>2827359.7930238978</v>
      </c>
      <c r="L32" s="46">
        <f t="shared" si="1"/>
        <v>2900953.4189999998</v>
      </c>
      <c r="M32" s="46">
        <f t="shared" si="1"/>
        <v>2894683.7732095602</v>
      </c>
      <c r="N32" s="46">
        <f t="shared" ref="N32:S32" si="2">SUM(N2:N31)</f>
        <v>2658323.9918866237</v>
      </c>
      <c r="O32" s="46">
        <f t="shared" si="2"/>
        <v>2116076.7440896584</v>
      </c>
      <c r="P32" s="46">
        <f t="shared" si="2"/>
        <v>2584990.7058944269</v>
      </c>
      <c r="Q32" s="46">
        <f t="shared" si="2"/>
        <v>2147939.1923458953</v>
      </c>
      <c r="R32" s="46">
        <f t="shared" si="2"/>
        <v>2422226.9666529228</v>
      </c>
      <c r="S32" s="86">
        <f t="shared" si="2"/>
        <v>1972468.9</v>
      </c>
    </row>
    <row r="33" spans="1:19" x14ac:dyDescent="0.25">
      <c r="A33" s="52" t="s">
        <v>145</v>
      </c>
    </row>
    <row r="34" spans="1:19" ht="13.8" thickBot="1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s="52" customFormat="1" ht="13.8" thickBot="1" x14ac:dyDescent="0.3">
      <c r="A35" s="53" t="s">
        <v>91</v>
      </c>
      <c r="B35" s="24" t="s">
        <v>176</v>
      </c>
      <c r="C35" s="49" t="s">
        <v>177</v>
      </c>
      <c r="D35" s="25" t="s">
        <v>173</v>
      </c>
      <c r="E35" s="115">
        <v>44986</v>
      </c>
      <c r="F35" s="25">
        <v>44621</v>
      </c>
      <c r="G35" s="25">
        <v>44256</v>
      </c>
      <c r="H35" s="25">
        <v>43891</v>
      </c>
      <c r="I35" s="25">
        <v>43525</v>
      </c>
      <c r="J35" s="25">
        <v>43160</v>
      </c>
      <c r="K35" s="25">
        <v>42795</v>
      </c>
      <c r="L35" s="25">
        <v>42430</v>
      </c>
      <c r="M35" s="25">
        <f>M1</f>
        <v>42064</v>
      </c>
      <c r="N35" s="25">
        <v>41699</v>
      </c>
      <c r="O35" s="25">
        <v>41334</v>
      </c>
      <c r="P35" s="25">
        <v>40969</v>
      </c>
      <c r="Q35" s="25">
        <v>40603</v>
      </c>
      <c r="R35" s="25">
        <v>40238</v>
      </c>
      <c r="S35" s="26">
        <v>39873</v>
      </c>
    </row>
    <row r="36" spans="1:19" s="52" customFormat="1" x14ac:dyDescent="0.25">
      <c r="A36" s="87" t="s">
        <v>104</v>
      </c>
      <c r="B36" s="55">
        <f t="shared" ref="B36:B44" si="3">(E36-F36)/F36</f>
        <v>7.544495819082262</v>
      </c>
      <c r="C36" s="129">
        <f>E36-'[1]Europe - variety'!E36</f>
        <v>-12770</v>
      </c>
      <c r="D36" s="38">
        <f>F36-'[1]Europe - variety'!F36</f>
        <v>-3305.6675255598243</v>
      </c>
      <c r="E36" s="43">
        <f>Italy!E$24</f>
        <v>9230</v>
      </c>
      <c r="F36" s="38">
        <f>Italy!F$24</f>
        <v>1080.2275752054106</v>
      </c>
      <c r="G36" s="38">
        <f>Italy!G$24</f>
        <v>49577.107762392639</v>
      </c>
      <c r="H36" s="57">
        <f>Italy!H$24</f>
        <v>0</v>
      </c>
      <c r="I36" s="57">
        <f>Italy!I$24</f>
        <v>63971.905591621828</v>
      </c>
      <c r="J36" s="57">
        <f>Italy!J$24</f>
        <v>82765.745796512405</v>
      </c>
      <c r="K36" s="38">
        <f>Italy!K$24</f>
        <v>56635.808444322181</v>
      </c>
      <c r="L36" s="88">
        <f>Italy!L$24</f>
        <v>63566.175721179985</v>
      </c>
      <c r="M36" s="88">
        <f>Italy!M$24</f>
        <v>65796.129282598573</v>
      </c>
      <c r="N36" s="88">
        <f>Italy!N$24</f>
        <v>73948.376248926696</v>
      </c>
      <c r="O36" s="88">
        <f>Italy!O$24</f>
        <v>30464.013141234482</v>
      </c>
      <c r="P36" s="88">
        <f>Italy!P$24</f>
        <v>87525.455028555443</v>
      </c>
      <c r="Q36" s="88">
        <f>Italy!Q$24</f>
        <v>25464.53642822471</v>
      </c>
      <c r="R36" s="88">
        <f>Italy!R$24</f>
        <v>33070.826530161961</v>
      </c>
      <c r="S36" s="89">
        <f>Italy!S$24</f>
        <v>20931</v>
      </c>
    </row>
    <row r="37" spans="1:19" s="52" customFormat="1" x14ac:dyDescent="0.25">
      <c r="A37" s="54" t="s">
        <v>38</v>
      </c>
      <c r="B37" s="55">
        <f t="shared" si="3"/>
        <v>0.49143835616438358</v>
      </c>
      <c r="C37" s="129">
        <f>E37-'[1]Europe - variety'!E37</f>
        <v>-29.495233167710694</v>
      </c>
      <c r="D37" s="38">
        <f>F37-'[1]Europe - variety'!F37</f>
        <v>-890.26317061522559</v>
      </c>
      <c r="E37" s="43">
        <f>Spain!E$12</f>
        <v>871</v>
      </c>
      <c r="F37" s="38">
        <f>Spain!F$12</f>
        <v>584</v>
      </c>
      <c r="G37" s="38">
        <f>Spain!G$12</f>
        <v>1666.8866853587681</v>
      </c>
      <c r="H37" s="57">
        <f>Spain!H$12</f>
        <v>1739.8742145811325</v>
      </c>
      <c r="I37" s="57">
        <f>Spain!I$12</f>
        <v>1211</v>
      </c>
      <c r="J37" s="57">
        <f>Spain!J$12</f>
        <v>2105</v>
      </c>
      <c r="K37" s="38">
        <f>Spain!K$12</f>
        <v>2528.3977759210102</v>
      </c>
      <c r="L37" s="57">
        <f>Spain!L$12</f>
        <v>954</v>
      </c>
      <c r="M37" s="57">
        <f>Spain!M$12</f>
        <v>1614.3769997815843</v>
      </c>
      <c r="N37" s="57">
        <f>Spain!N$12</f>
        <v>4446.8339917737203</v>
      </c>
      <c r="O37" s="57">
        <f>Spain!O$12</f>
        <v>953.49438183893142</v>
      </c>
      <c r="P37" s="57">
        <f>Spain!P$12</f>
        <v>5278.982664625848</v>
      </c>
      <c r="Q37" s="57">
        <f>Spain!Q$12</f>
        <v>3088.7458971387505</v>
      </c>
      <c r="R37" s="57">
        <f>Spain!R$12</f>
        <v>3773</v>
      </c>
      <c r="S37" s="67">
        <f>Spain!S$12</f>
        <v>1783</v>
      </c>
    </row>
    <row r="38" spans="1:19" s="52" customFormat="1" x14ac:dyDescent="0.25">
      <c r="A38" s="54" t="s">
        <v>39</v>
      </c>
      <c r="B38" s="55">
        <f t="shared" si="3"/>
        <v>0.69478672985781986</v>
      </c>
      <c r="C38" s="129">
        <f>E38-'[1]Europe - variety'!E38</f>
        <v>-720.43911778129814</v>
      </c>
      <c r="D38" s="38">
        <f>F38-'[1]Europe - variety'!F38</f>
        <v>-565.01550052139009</v>
      </c>
      <c r="E38" s="43">
        <f>Spain!E$13</f>
        <v>1788</v>
      </c>
      <c r="F38" s="38">
        <f>Spain!F$13</f>
        <v>1055</v>
      </c>
      <c r="G38" s="38">
        <f>Spain!G$13</f>
        <v>3344.8897805433426</v>
      </c>
      <c r="H38" s="57">
        <f>Spain!H$13</f>
        <v>1760.6126604602193</v>
      </c>
      <c r="I38" s="57">
        <f>Spain!I$13</f>
        <v>3402</v>
      </c>
      <c r="J38" s="57">
        <f>Spain!J$13</f>
        <v>5310</v>
      </c>
      <c r="K38" s="38">
        <f>Spain!K$13</f>
        <v>5247.7420849205409</v>
      </c>
      <c r="L38" s="57">
        <f>Spain!L$13</f>
        <v>3573</v>
      </c>
      <c r="M38" s="57">
        <f>Spain!M$13</f>
        <v>8110.6676219501705</v>
      </c>
      <c r="N38" s="57">
        <f>Spain!N$13</f>
        <v>6505.1519680267347</v>
      </c>
      <c r="O38" s="57">
        <f>Spain!O$13</f>
        <v>4468.6188120131083</v>
      </c>
      <c r="P38" s="57">
        <f>Spain!P$13</f>
        <v>8544.7320271821791</v>
      </c>
      <c r="Q38" s="57">
        <f>Spain!Q$13</f>
        <v>14159.694303670278</v>
      </c>
      <c r="R38" s="57">
        <f>Spain!R$13</f>
        <v>12138</v>
      </c>
      <c r="S38" s="67">
        <f>Spain!S$13</f>
        <v>5261</v>
      </c>
    </row>
    <row r="39" spans="1:19" s="52" customFormat="1" x14ac:dyDescent="0.25">
      <c r="A39" s="54" t="s">
        <v>7</v>
      </c>
      <c r="B39" s="55">
        <f t="shared" si="3"/>
        <v>-9.878644391474381E-2</v>
      </c>
      <c r="C39" s="129">
        <f>E39-'[1]Europe - variety'!E39</f>
        <v>-86690.291791746335</v>
      </c>
      <c r="D39" s="38">
        <f>F39-'[1]Europe - variety'!F39</f>
        <v>-80403.286076986114</v>
      </c>
      <c r="E39" s="43">
        <f>Belgium!E$15+Denmark!E$24+Italy!E$25+Poland!E$22+Spain!E$14+Switzerland!E$24+Netherlands!E$12+UK!E$16+'Czech Republic'!E$16+France!E$32</f>
        <v>256371</v>
      </c>
      <c r="F39" s="38">
        <f>Belgium!F$15+Denmark!F$24+Italy!F$25+Poland!F$22+Spain!F$14+Switzerland!F$24+Netherlands!F$12+UK!F$16+'Czech Republic'!F$16+France!F$32</f>
        <v>284473.08439704264</v>
      </c>
      <c r="G39" s="38">
        <f>Belgium!G$15+Denmark!G$24+Italy!G$25+Poland!G$22+Spain!G$14+Switzerland!G$24+Netherlands!G$12+UK!G$16+'Czech Republic'!G$16+France!G$32</f>
        <v>336088.48576009937</v>
      </c>
      <c r="H39" s="57">
        <f>Belgium!H$15+Denmark!H$24+Italy!H$25+Poland!H$22+Spain!H$14+Switzerland!H$24+Netherlands!H$12+UK!H$16+'Czech Republic'!H$16+France!H$32</f>
        <v>250960.54595388228</v>
      </c>
      <c r="I39" s="57">
        <f>Belgium!I$15+Denmark!I$24+Italy!I$25+Poland!I$22+Spain!I$14+Switzerland!I$24+Netherlands!I$12+UK!I$16+'Czech Republic'!I$16+France!I$32</f>
        <v>329039.97582456173</v>
      </c>
      <c r="J39" s="57">
        <f>Belgium!J$15+Denmark!J$24+Italy!J$25+Poland!J$22+Spain!J$14+Switzerland!J$24+Netherlands!J$12+UK!J$16+'Czech Republic'!J$16+France!J$32</f>
        <v>270356.94760372862</v>
      </c>
      <c r="K39" s="38">
        <f>Belgium!K$15+Denmark!K$24+Italy!K$25+Poland!K$22+Spain!K$14+Switzerland!K$24+Netherlands!K$12+UK!K$16+'Czech Republic'!K$16+France!K$32</f>
        <v>293291.76650399633</v>
      </c>
      <c r="L39" s="57">
        <f>Belgium!L$15+Denmark!L$24+Italy!L$25+Poland!L$22+Spain!L$14+Switzerland!L$24+Netherlands!L$12+UK!L$16+'Czech Republic'!L$16+France!L$32</f>
        <v>337427.67496278347</v>
      </c>
      <c r="M39" s="57">
        <f>Belgium!M$15+Denmark!M$24+Italy!M$25+Poland!M$22+Spain!M$14+Switzerland!M$24+Netherlands!M$12+UK!M$16+'Czech Republic'!M$16+France!M$32</f>
        <v>309228.97386615525</v>
      </c>
      <c r="N39" s="57">
        <f>Belgium!N$15+Denmark!N$24+Italy!N$25+Poland!N$22+Spain!N$14+Switzerland!N$24+Netherlands!N$12+UK!N$16+'Czech Republic'!N$16+France!N$32</f>
        <v>278868.87917083735</v>
      </c>
      <c r="O39" s="57">
        <f>Belgium!O$15+Denmark!O$24+Italy!O$25+Poland!O$22+Spain!O$14+Switzerland!O$24+Netherlands!O$12+UK!O$16+'Czech Republic'!O$16+France!O$32</f>
        <v>176970.17912148125</v>
      </c>
      <c r="P39" s="57">
        <f>Belgium!P$15+Denmark!P$24+Italy!P$25+Poland!P$22+Spain!P$14+Switzerland!P$24+Netherlands!P$12+UK!P$16+'Czech Republic'!P$16+France!P$32</f>
        <v>298641.76912187424</v>
      </c>
      <c r="Q39" s="57">
        <f>Belgium!Q$15+Denmark!Q$24+Italy!Q$25+Poland!Q$22+Spain!Q$14+Switzerland!Q$24+Netherlands!Q$12+UK!Q$16+'Czech Republic'!Q$16+France!Q$32</f>
        <v>246746.00869369193</v>
      </c>
      <c r="R39" s="57">
        <f>Belgium!R$15+Denmark!R$24+Italy!R$25+Poland!R$22+Spain!R$14+Switzerland!R$24+Netherlands!R$12+UK!R$16+'Czech Republic'!R$16+France!R$32</f>
        <v>259499.94051723514</v>
      </c>
      <c r="S39" s="67">
        <f>Belgium!S$15+Denmark!S$24+Italy!S$25+Poland!S$22+Spain!S$14+Switzerland!S$24+Netherlands!S$12+UK!S$16+'Czech Republic'!S$16+France!S$32</f>
        <v>161826</v>
      </c>
    </row>
    <row r="40" spans="1:19" s="52" customFormat="1" x14ac:dyDescent="0.25">
      <c r="A40" s="54" t="s">
        <v>93</v>
      </c>
      <c r="B40" s="55">
        <f t="shared" si="3"/>
        <v>-0.41852410625013309</v>
      </c>
      <c r="C40" s="129">
        <f>E40-'[1]Europe - variety'!E40</f>
        <v>-3895</v>
      </c>
      <c r="D40" s="38">
        <f>F40-'[1]Europe - variety'!F40</f>
        <v>-3767.5398354816916</v>
      </c>
      <c r="E40" s="43">
        <f>Belgium!E$16+Italy!E$26+Poland!E$23+Netherlands!E$13+UK!E$17+France!E$33+Denmark!E$25</f>
        <v>973</v>
      </c>
      <c r="F40" s="38">
        <f>Belgium!F$16+Italy!F$26+Poland!F$23+Netherlands!F$13+UK!F$17+France!F$33+Denmark!F$25</f>
        <v>1673.3281817157406</v>
      </c>
      <c r="G40" s="38">
        <f>Belgium!G$16+Italy!G$26+Poland!G$23+Netherlands!G$13+UK!G$17+France!G$33+Denmark!G$25</f>
        <v>4950.9183805219791</v>
      </c>
      <c r="H40" s="57">
        <f>Belgium!H$16+Italy!H$26+Poland!H$23+Netherlands!H$13+UK!H$17+France!H$33+Denmark!H$25</f>
        <v>572</v>
      </c>
      <c r="I40" s="57">
        <f>Belgium!I$16+Italy!I$26+Poland!I$23+Netherlands!I$13+UK!I$17+France!I$33+Denmark!I$25</f>
        <v>5799.3212945060932</v>
      </c>
      <c r="J40" s="57">
        <f>Belgium!J$16+Italy!J$26+Poland!J$23+Netherlands!J$13+UK!J$17+France!J$33+Denmark!J$25</f>
        <v>1682.5613424476735</v>
      </c>
      <c r="K40" s="38">
        <f>Belgium!K$16+Italy!K$26+Poland!K$23+Netherlands!K$13+UK!K$17+France!K$33+Denmark!K$25</f>
        <v>2801.2297869127592</v>
      </c>
      <c r="L40" s="57">
        <f>Belgium!L$16+Italy!L$26+Poland!L$23+Netherlands!L$13+UK!L$17+France!L$33+Denmark!L$25</f>
        <v>5737.2575677211626</v>
      </c>
      <c r="M40" s="57">
        <f>Belgium!M$16+Italy!M$26+Poland!M$23+Netherlands!M$13+UK!M$17+France!M$33+Denmark!M$25</f>
        <v>5480.3591556187312</v>
      </c>
      <c r="N40" s="57">
        <f>Belgium!N$16+Italy!N$26+Poland!N$23+Netherlands!N$13+UK!N$17+France!N$33+Denmark!N$25</f>
        <v>6062.4848179103637</v>
      </c>
      <c r="O40" s="57">
        <f>Belgium!O$16+Italy!O$26+Poland!O$23+Netherlands!O$13+UK!O$17+France!O$33+Denmark!O$25</f>
        <v>886.67938977974541</v>
      </c>
      <c r="P40" s="57">
        <f>Belgium!P$16+Italy!P$26+Poland!P$23+Netherlands!P$13+UK!P$17+France!P$33+Denmark!P$25</f>
        <v>11968.812779541362</v>
      </c>
      <c r="Q40" s="57">
        <f>Belgium!Q$16+Italy!Q$26+Poland!Q$23+Netherlands!Q$13+UK!Q$17+France!Q$33+Denmark!Q$25</f>
        <v>1587.8603849661736</v>
      </c>
      <c r="R40" s="57">
        <f>Belgium!R$16+Italy!R$26+Poland!R$23+Netherlands!R$13+UK!R$17+France!R$33+Denmark!R$25</f>
        <v>11585.73589977449</v>
      </c>
      <c r="S40" s="67">
        <f>Belgium!S$16+Italy!S$26+Poland!S$23+Netherlands!S$13+UK!S$17+France!S$33+Denmark!S$25</f>
        <v>2126</v>
      </c>
    </row>
    <row r="41" spans="1:19" s="52" customFormat="1" x14ac:dyDescent="0.25">
      <c r="A41" s="54" t="s">
        <v>30</v>
      </c>
      <c r="B41" s="55">
        <f t="shared" si="3"/>
        <v>1.9568746736754816</v>
      </c>
      <c r="C41" s="129">
        <f>E41-'[1]Europe - variety'!E41</f>
        <v>-1460</v>
      </c>
      <c r="D41" s="38">
        <f>F41-'[1]Europe - variety'!F41</f>
        <v>-1487.1272363581918</v>
      </c>
      <c r="E41" s="43">
        <f>Italy!E$27</f>
        <v>1960</v>
      </c>
      <c r="F41" s="38">
        <f>Italy!F$27</f>
        <v>662.86204736694594</v>
      </c>
      <c r="G41" s="38">
        <f>Italy!G$27</f>
        <v>13921.610409453058</v>
      </c>
      <c r="H41" s="57">
        <f>Italy!H$27</f>
        <v>0</v>
      </c>
      <c r="I41" s="57">
        <f>Italy!I$27</f>
        <v>9278.7162314291763</v>
      </c>
      <c r="J41" s="57">
        <f>Italy!J$27</f>
        <v>11662.43145458616</v>
      </c>
      <c r="K41" s="38">
        <f>Italy!K$27</f>
        <v>7825.8229150421184</v>
      </c>
      <c r="L41" s="57">
        <f>Italy!L$27</f>
        <v>16380.43736138309</v>
      </c>
      <c r="M41" s="57">
        <f>Italy!M$27</f>
        <v>5832.126376392991</v>
      </c>
      <c r="N41" s="57">
        <f>Italy!N$27</f>
        <v>21296.53202654039</v>
      </c>
      <c r="O41" s="57">
        <f>Italy!O$27</f>
        <v>7182.8672671929089</v>
      </c>
      <c r="P41" s="57">
        <f>Italy!P$27</f>
        <v>16595.353059931193</v>
      </c>
      <c r="Q41" s="57">
        <f>Italy!Q$27</f>
        <v>5428.2717339577894</v>
      </c>
      <c r="R41" s="57">
        <f>Italy!R$27</f>
        <v>16449.308284720573</v>
      </c>
      <c r="S41" s="67">
        <f>Italy!S$27</f>
        <v>3441</v>
      </c>
    </row>
    <row r="42" spans="1:19" s="52" customFormat="1" x14ac:dyDescent="0.25">
      <c r="A42" s="54" t="s">
        <v>147</v>
      </c>
      <c r="B42" s="55">
        <f t="shared" si="3"/>
        <v>-0.74260928849341157</v>
      </c>
      <c r="C42" s="129">
        <f>E42-'[2]Europe - variety'!E42</f>
        <v>-33382.964223139912</v>
      </c>
      <c r="D42" s="38">
        <f>F42-'[2]Europe - variety'!F42</f>
        <v>-42574</v>
      </c>
      <c r="E42" s="43">
        <f>Portugal!E$13</f>
        <v>21897</v>
      </c>
      <c r="F42" s="38">
        <f>Portugal!F$13</f>
        <v>85073</v>
      </c>
      <c r="G42" s="38">
        <f>Portugal!G$13</f>
        <v>25459</v>
      </c>
      <c r="H42" s="109">
        <f>Portugal!H$13</f>
        <v>46875</v>
      </c>
      <c r="I42" s="109">
        <f>Portugal!I$13</f>
        <v>41335</v>
      </c>
      <c r="J42" s="109">
        <f>Portugal!J$13</f>
        <v>36205</v>
      </c>
      <c r="K42" s="38">
        <f>Portugal!K$13</f>
        <v>27028</v>
      </c>
      <c r="L42" s="57">
        <f>Portugal!L$13</f>
        <v>16378</v>
      </c>
      <c r="M42" s="57">
        <f>Portugal!M$13</f>
        <v>41422</v>
      </c>
      <c r="N42" s="57">
        <f>Portugal!N$13</f>
        <v>45904</v>
      </c>
      <c r="O42" s="57">
        <f>Portugal!O$13</f>
        <v>11886</v>
      </c>
      <c r="P42" s="57">
        <f>Portugal!P$13</f>
        <v>35230</v>
      </c>
      <c r="Q42" s="57">
        <f>Portugal!Q$13</f>
        <v>21516.400000000001</v>
      </c>
      <c r="R42" s="57">
        <f>Portugal!R$13</f>
        <v>45419.69</v>
      </c>
      <c r="S42" s="67">
        <f>Portugal!S$13</f>
        <v>22919.7</v>
      </c>
    </row>
    <row r="43" spans="1:19" s="52" customFormat="1" ht="13.8" thickBot="1" x14ac:dyDescent="0.3">
      <c r="A43" s="54" t="s">
        <v>6</v>
      </c>
      <c r="B43" s="55">
        <f t="shared" si="3"/>
        <v>0.41037926130410118</v>
      </c>
      <c r="C43" s="129">
        <f>E43-'[1]Europe - variety'!E43</f>
        <v>-14365.55815703977</v>
      </c>
      <c r="D43" s="38">
        <f>F43-'[1]Europe - variety'!F43</f>
        <v>-14498.162189064538</v>
      </c>
      <c r="E43" s="43">
        <f>Belgium!E$19+Denmark!E$26+Germany!E$25+Italy!E$28+Poland!E$24+Spain!E$15+Spain!E$16+Switzerland!E$23+Switzerland!E$25+Switzerland!E$26+Switzerland!E$27+Netherlands!E$14+UK!E$18+'Czech Republic'!E$17+'Czech Republic'!E$18+'Czech Republic'!E$19+'Czech Republic'!E$20+France!E$31+France!E$35+France!E$36+France!E$37+France!E$30+Belgium!E$18</f>
        <v>19595</v>
      </c>
      <c r="F43" s="38">
        <f>Belgium!F$19+Denmark!F$26+Germany!F$25+Italy!F$28+Poland!F$24+Spain!F$15+Spain!F$16+Switzerland!F$23+Switzerland!F$25+Switzerland!F$26+Switzerland!F$27+Netherlands!F$14+UK!F$18+'Czech Republic'!F$17+'Czech Republic'!F$18+'Czech Republic'!F$19+'Czech Republic'!F$20+France!F$31+France!F$35+France!F$36+France!F$37+France!F$30+Belgium!$F18</f>
        <v>13893.426071708944</v>
      </c>
      <c r="G43" s="38">
        <f>Belgium!G$19+Denmark!G$26+Germany!G$25+Italy!G$28+Poland!G$24+Spain!G$15+Spain!G$16+Switzerland!G$23+Switzerland!G$25+Switzerland!G$26+Switzerland!G$27+Netherlands!G$14+UK!G$18+'Czech Republic'!G$17+'Czech Republic'!G$18+'Czech Republic'!G$19+'Czech Republic'!G$20+France!G$31+France!G$35+France!G$36+France!G$37+France!G$30+Belgium!G$17</f>
        <v>21669.692424606124</v>
      </c>
      <c r="H43" s="57">
        <f>Belgium!H$19+Denmark!H$26+Germany!H$25+Italy!H$28+Poland!H$24+Spain!H$15+Spain!H$16+Switzerland!H$23+Switzerland!H$25+Switzerland!H$26+Switzerland!H$27+Netherlands!H$14+UK!H$18+'Czech Republic'!H$17+'Czech Republic'!H$18+'Czech Republic'!H$19+'Czech Republic'!H$20+France!H$31+France!H$35+France!H$36+France!H$37+France!H$30</f>
        <v>13261.390314551169</v>
      </c>
      <c r="I43" s="57">
        <f>Belgium!I$19+Denmark!I$26+Germany!I$25+Italy!I$28+Poland!I$24+Spain!I$15+Spain!I$16+Switzerland!I$23+Switzerland!I$25+Switzerland!I$26+Switzerland!I$27+Netherlands!I$14+UK!I$18+'Czech Republic'!I$17+'Czech Republic'!I$18+'Czech Republic'!I$19+'Czech Republic'!I$20+France!I$31+France!I$35+France!I$36+France!I$37+France!I$30</f>
        <v>21773.704797961836</v>
      </c>
      <c r="J43" s="57">
        <f>Belgium!J$19+Denmark!J$26+Germany!J$25+Italy!J$28+Poland!J$24+Spain!J$15+Spain!J$16+Switzerland!J$23+Switzerland!J$25+Switzerland!J$26+Switzerland!J$27+Netherlands!J$14+UK!J$18+'Czech Republic'!J$17+'Czech Republic'!J$18+'Czech Republic'!J$19+'Czech Republic'!J$20+France!J$31+France!J$35+France!J$36+France!J$37+France!J$30</f>
        <v>9791</v>
      </c>
      <c r="K43" s="38">
        <f>Belgium!K$19+Denmark!K$26+Germany!K$25+Italy!K$28+Poland!K$24+Spain!K$15+Spain!K$16+Switzerland!K$23+Switzerland!K$25+Switzerland!K$26+Switzerland!K$27+Netherlands!K$14+UK!K$18+'Czech Republic'!K$17+'Czech Republic'!K$18+'Czech Republic'!K$19+'Czech Republic'!K$20+France!K$31+France!K$35+France!K$36+France!K$37+France!K$30</f>
        <v>14801.589540433486</v>
      </c>
      <c r="L43" s="57">
        <f>Belgium!L$19+Denmark!L$26+Germany!L$25+Italy!L$28+Poland!L$24+Spain!L$15+Spain!L$16+Switzerland!L$23+Switzerland!L$25+Switzerland!L$26+Switzerland!L$27+Netherlands!L$14+UK!L$18+'Czech Republic'!L$17+'Czech Republic'!L$18+'Czech Republic'!L$19+'Czech Republic'!L$20+France!L$31+France!L$35+France!L$36+France!L$37+France!L$30</f>
        <v>14967.391324687458</v>
      </c>
      <c r="M43" s="57">
        <f>Belgium!M$19+Denmark!M$26+Germany!M$25+Italy!M$28+Poland!M$24+Spain!M$15+Spain!M$16+Switzerland!M$23+Switzerland!M$25+Switzerland!M$26+Switzerland!M$27+Netherlands!M$14+UK!M$18+'Czech Republic'!M$17+'Czech Republic'!M$18+'Czech Republic'!M$19+'Czech Republic'!M$20+France!M$31+France!M$35+France!M$36+France!M$37+France!M$30</f>
        <v>15233.392618596896</v>
      </c>
      <c r="N43" s="57">
        <f>Belgium!N$19+Denmark!N$26+Germany!N$25+Italy!N$28+Poland!N$24+Spain!N$15+Spain!N$16+Switzerland!N$23+Switzerland!N$25+Switzerland!N$26+Switzerland!N$27+Netherlands!N$14+UK!N$18+'Czech Republic'!N$17+'Czech Republic'!N$18+'Czech Republic'!N$19+'Czech Republic'!N$20+France!N$31+France!N$35+France!N$36+France!N$37+France!N$30</f>
        <v>24042.704633263649</v>
      </c>
      <c r="O43" s="57">
        <f>Belgium!O$19+Denmark!O$26+Germany!O$25+Italy!O$28+Poland!O$24+Spain!O$15+Spain!O$16+Switzerland!O$23+Switzerland!O$25+Switzerland!O$26+Switzerland!O$27+Netherlands!O$14+UK!O$18+'Czech Republic'!O$17+'Czech Republic'!O$18+'Czech Republic'!O$19+'Czech Republic'!O$20+France!O$31+France!O$35+France!O$36+France!O$37+France!O$30</f>
        <v>3488.1359308449278</v>
      </c>
      <c r="P43" s="57">
        <f>Belgium!P$19+Denmark!P$26+Germany!P$25+Italy!P$28+Poland!P$24+Spain!P$15+Spain!P$16+Switzerland!P$23+Switzerland!P$25+Switzerland!P$26+Switzerland!P$27+Netherlands!P$14+UK!P$18+'Czech Republic'!P$17+'Czech Republic'!P$18+'Czech Republic'!P$19+'Czech Republic'!P$20+France!P$31+France!P$35+France!P$36+France!P$37+France!P$30</f>
        <v>12647.751022402037</v>
      </c>
      <c r="Q43" s="57">
        <f>Belgium!Q$19+Denmark!Q$26+Germany!Q$25+Italy!Q$28+Poland!Q$24+Spain!Q$15+Spain!Q$16+Switzerland!Q$23+Switzerland!Q$25+Switzerland!Q$26+Switzerland!Q$27+Netherlands!Q$14+UK!Q$18+'Czech Republic'!Q$17+'Czech Republic'!Q$18+'Czech Republic'!Q$19+'Czech Republic'!Q$20+France!Q$31+France!Q$35+France!Q$36+France!Q$37+France!Q$30</f>
        <v>5601.1466136153258</v>
      </c>
      <c r="R43" s="57">
        <f>Belgium!R$19+Denmark!R$26+Germany!R$25+Italy!R$28+Poland!R$24+Spain!R$15+Spain!R$16+Switzerland!R$23+Switzerland!R$25+Switzerland!R$26+Switzerland!R$27+Netherlands!R$14+UK!R$18+'Czech Republic'!R$17+'Czech Republic'!R$18+'Czech Republic'!R$19+'Czech Republic'!R$20+France!R$31+France!R$35+France!R$36+France!R$37+France!R$30</f>
        <v>11139.155378717753</v>
      </c>
      <c r="S43" s="67">
        <f>Belgium!S$19+Denmark!S$26+Germany!S$25+Italy!S$28+Poland!S$24+Spain!S$15+Spain!S$16+Switzerland!S$23+Switzerland!S$25+Switzerland!S$26+Switzerland!S$27+Netherlands!S$14+UK!S$18+'Czech Republic'!S$17+'Czech Republic'!S$18+'Czech Republic'!S$19+'Czech Republic'!S$20+France!S$31+France!S$35+France!S$36+France!S$37+France!S$30</f>
        <v>5033</v>
      </c>
    </row>
    <row r="44" spans="1:19" s="52" customFormat="1" ht="13.8" thickBot="1" x14ac:dyDescent="0.3">
      <c r="A44" s="53" t="s">
        <v>92</v>
      </c>
      <c r="B44" s="62">
        <f t="shared" si="3"/>
        <v>-0.19513749795919963</v>
      </c>
      <c r="C44" s="70">
        <f>E44-'[1]Europe - variety'!E44</f>
        <v>-98033.784299735096</v>
      </c>
      <c r="D44" s="46">
        <f>F44-'[1]Europe - variety'!F44</f>
        <v>-19844.061534587003</v>
      </c>
      <c r="E44" s="45">
        <f>SUM(E36:E43)</f>
        <v>312685</v>
      </c>
      <c r="F44" s="46">
        <f>SUM(F36:F43)</f>
        <v>388494.9282730397</v>
      </c>
      <c r="G44" s="46">
        <f>SUM(G36:G43)</f>
        <v>456678.59120297531</v>
      </c>
      <c r="H44" s="80">
        <f t="shared" ref="H44:M44" si="4">SUM(H36:H43)</f>
        <v>315169.42314347485</v>
      </c>
      <c r="I44" s="80">
        <f t="shared" si="4"/>
        <v>475811.62374008063</v>
      </c>
      <c r="J44" s="80">
        <f t="shared" si="4"/>
        <v>419878.68619727483</v>
      </c>
      <c r="K44" s="80">
        <f t="shared" si="4"/>
        <v>410160.35705154843</v>
      </c>
      <c r="L44" s="80">
        <f t="shared" si="4"/>
        <v>458983.93693775521</v>
      </c>
      <c r="M44" s="80">
        <f t="shared" si="4"/>
        <v>452718.02592109423</v>
      </c>
      <c r="N44" s="80">
        <f t="shared" ref="N44:S44" si="5">SUM(N36:N43)</f>
        <v>461074.96285727888</v>
      </c>
      <c r="O44" s="80">
        <f t="shared" si="5"/>
        <v>236299.98804438539</v>
      </c>
      <c r="P44" s="80">
        <f t="shared" si="5"/>
        <v>476432.85570411227</v>
      </c>
      <c r="Q44" s="80">
        <f t="shared" si="5"/>
        <v>323592.66405526502</v>
      </c>
      <c r="R44" s="80">
        <f t="shared" si="5"/>
        <v>393075.65661060991</v>
      </c>
      <c r="S44" s="81">
        <f t="shared" si="5"/>
        <v>223320.7</v>
      </c>
    </row>
    <row r="45" spans="1:19" s="52" customFormat="1" x14ac:dyDescent="0.25">
      <c r="A45" s="3" t="s">
        <v>162</v>
      </c>
    </row>
    <row r="46" spans="1:19" s="52" customFormat="1" x14ac:dyDescent="0.25"/>
    <row r="47" spans="1:19" s="52" customFormat="1" x14ac:dyDescent="0.25"/>
  </sheetData>
  <phoneticPr fontId="3" type="noConversion"/>
  <pageMargins left="0.75" right="0.75" top="1" bottom="1" header="0.5" footer="0.5"/>
  <pageSetup paperSize="9" fitToHeight="3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8"/>
  <sheetViews>
    <sheetView workbookViewId="0"/>
  </sheetViews>
  <sheetFormatPr defaultColWidth="8.77734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10" width="11.33203125" customWidth="1"/>
    <col min="11" max="21" width="10.109375" bestFit="1" customWidth="1"/>
  </cols>
  <sheetData>
    <row r="1" spans="1:21" ht="13.8" thickBot="1" x14ac:dyDescent="0.3">
      <c r="A1" s="23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123">
        <v>43525</v>
      </c>
      <c r="J1" s="123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1" x14ac:dyDescent="0.25">
      <c r="A2" s="20" t="s">
        <v>94</v>
      </c>
      <c r="B2" s="97">
        <f>(E2-F2)/F2</f>
        <v>1.2850241545893721</v>
      </c>
      <c r="C2" s="50">
        <f>E2-[1]Austria!E2</f>
        <v>-89.880925067682256</v>
      </c>
      <c r="D2" s="1">
        <f>F2-[1]Austria!F2</f>
        <v>-76.280227596017085</v>
      </c>
      <c r="E2" s="114">
        <v>622.36842105263156</v>
      </c>
      <c r="F2" s="1">
        <v>272.36842105263156</v>
      </c>
      <c r="G2" s="1">
        <v>501.1</v>
      </c>
      <c r="H2" s="1">
        <v>495.88</v>
      </c>
      <c r="I2" s="1">
        <v>663.15</v>
      </c>
      <c r="J2" s="1">
        <f>34+23</f>
        <v>57</v>
      </c>
      <c r="K2" s="1">
        <v>0</v>
      </c>
      <c r="L2" s="1">
        <v>812</v>
      </c>
      <c r="M2" s="1">
        <v>1201.6500000000001</v>
      </c>
      <c r="N2" s="1">
        <v>1327</v>
      </c>
      <c r="O2" s="1">
        <v>1098.3</v>
      </c>
      <c r="P2" s="1">
        <v>1743.1</v>
      </c>
      <c r="Q2" s="1">
        <v>1944</v>
      </c>
      <c r="R2" s="1">
        <v>1901</v>
      </c>
      <c r="S2" s="1">
        <v>2983</v>
      </c>
      <c r="T2" s="1">
        <v>2363</v>
      </c>
      <c r="U2" s="29">
        <v>2038</v>
      </c>
    </row>
    <row r="3" spans="1:21" x14ac:dyDescent="0.25">
      <c r="A3" s="20" t="s">
        <v>4</v>
      </c>
      <c r="B3" s="97">
        <f t="shared" ref="B3:B21" si="0">(E3-F3)/F3</f>
        <v>6.5999999999999988</v>
      </c>
      <c r="C3" s="50">
        <f>E3-[1]Austria!E3</f>
        <v>-85.13513513513513</v>
      </c>
      <c r="D3" s="1">
        <f>F3-[1]Austria!F3</f>
        <v>-42.247510668563294</v>
      </c>
      <c r="E3" s="114">
        <v>100</v>
      </c>
      <c r="F3" s="1">
        <v>13.157894736842106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/>
      <c r="M3" s="1">
        <v>0</v>
      </c>
      <c r="N3" s="1">
        <v>0</v>
      </c>
      <c r="O3" s="1">
        <v>0</v>
      </c>
      <c r="P3" s="1">
        <v>3.15</v>
      </c>
      <c r="Q3" s="1">
        <v>0</v>
      </c>
      <c r="R3" s="1">
        <v>2</v>
      </c>
      <c r="S3" s="1">
        <v>4</v>
      </c>
      <c r="T3" s="1"/>
      <c r="U3" s="29"/>
    </row>
    <row r="4" spans="1:21" x14ac:dyDescent="0.25">
      <c r="A4" s="20" t="s">
        <v>11</v>
      </c>
      <c r="B4" s="97">
        <f t="shared" si="0"/>
        <v>0.47334131736526946</v>
      </c>
      <c r="C4" s="50">
        <f>E4-[1]Austria!E4</f>
        <v>-905.31317395494079</v>
      </c>
      <c r="D4" s="1">
        <f>F4-[1]Austria!F4</f>
        <v>-779.17412318940387</v>
      </c>
      <c r="E4" s="114">
        <v>8093.6842105263149</v>
      </c>
      <c r="F4" s="1">
        <v>5493.4210526315783</v>
      </c>
      <c r="G4" s="1">
        <v>5131.8500000000004</v>
      </c>
      <c r="H4" s="1">
        <v>6129.44</v>
      </c>
      <c r="I4" s="1">
        <v>10087.25</v>
      </c>
      <c r="J4" s="1">
        <f>2273+383</f>
        <v>2656</v>
      </c>
      <c r="K4" s="82">
        <v>1045.4000000000001</v>
      </c>
      <c r="L4" s="1">
        <v>7396</v>
      </c>
      <c r="M4" s="1">
        <v>7811.45</v>
      </c>
      <c r="N4" s="1">
        <v>9014.35</v>
      </c>
      <c r="O4" s="1">
        <v>5293.35</v>
      </c>
      <c r="P4" s="1">
        <v>8762.0499999999993</v>
      </c>
      <c r="Q4" s="1">
        <v>6506</v>
      </c>
      <c r="R4" s="1">
        <v>10694</v>
      </c>
      <c r="S4" s="1">
        <v>7502</v>
      </c>
      <c r="T4" s="1">
        <v>4750</v>
      </c>
      <c r="U4" s="29">
        <v>3950</v>
      </c>
    </row>
    <row r="5" spans="1:21" x14ac:dyDescent="0.25">
      <c r="A5" s="20" t="s">
        <v>2</v>
      </c>
      <c r="B5" s="97">
        <f t="shared" si="0"/>
        <v>1.4370922646784714</v>
      </c>
      <c r="C5" s="50">
        <f>E5-[1]Austria!E5</f>
        <v>-747.04836415362797</v>
      </c>
      <c r="D5" s="1">
        <f>F5-[1]Austria!F5</f>
        <v>-803.02275960170709</v>
      </c>
      <c r="E5" s="114">
        <v>3440.7894736842104</v>
      </c>
      <c r="F5" s="1">
        <v>1411.8421052631579</v>
      </c>
      <c r="G5" s="1">
        <v>1024.4000000000001</v>
      </c>
      <c r="H5" s="1">
        <v>899.64</v>
      </c>
      <c r="I5" s="1">
        <v>3120.75</v>
      </c>
      <c r="J5" s="1">
        <v>27</v>
      </c>
      <c r="K5" s="82">
        <v>0</v>
      </c>
      <c r="L5" s="1">
        <v>1330</v>
      </c>
      <c r="M5" s="1">
        <v>1520.4</v>
      </c>
      <c r="N5" s="1">
        <v>1517.15</v>
      </c>
      <c r="O5" s="1">
        <v>1012.2</v>
      </c>
      <c r="P5" s="1">
        <v>2473.35</v>
      </c>
      <c r="Q5" s="1">
        <v>2171</v>
      </c>
      <c r="R5" s="1">
        <v>2473</v>
      </c>
      <c r="S5" s="1">
        <v>1748</v>
      </c>
      <c r="T5" s="1">
        <v>2297</v>
      </c>
      <c r="U5" s="29">
        <v>3055</v>
      </c>
    </row>
    <row r="6" spans="1:21" x14ac:dyDescent="0.25">
      <c r="A6" s="40" t="s">
        <v>152</v>
      </c>
      <c r="B6" s="97">
        <f t="shared" si="0"/>
        <v>0.76271815818789446</v>
      </c>
      <c r="C6" s="50">
        <f>E6-[1]Austria!E6</f>
        <v>-864.75817923186332</v>
      </c>
      <c r="D6" s="82">
        <f>F6-[1]Austria!F6</f>
        <v>-1044.4167852062592</v>
      </c>
      <c r="E6" s="119">
        <v>6246.0526315789475</v>
      </c>
      <c r="F6" s="82">
        <v>3543.4210526315792</v>
      </c>
      <c r="G6" s="82">
        <v>9558.1</v>
      </c>
      <c r="H6" s="1">
        <v>5925.08</v>
      </c>
      <c r="I6" s="1">
        <v>7666.05</v>
      </c>
      <c r="J6" s="1">
        <v>3760</v>
      </c>
      <c r="K6" s="82">
        <v>1800.75</v>
      </c>
      <c r="L6" s="1">
        <v>5350</v>
      </c>
      <c r="M6" s="1">
        <v>4419.45</v>
      </c>
      <c r="N6" s="1">
        <v>2905.35</v>
      </c>
      <c r="O6" s="1">
        <v>1663.2</v>
      </c>
      <c r="P6" s="1">
        <v>1930.7</v>
      </c>
      <c r="Q6" s="1"/>
      <c r="R6" s="1"/>
      <c r="S6" s="1"/>
      <c r="T6" s="1"/>
      <c r="U6" s="29"/>
    </row>
    <row r="7" spans="1:21" x14ac:dyDescent="0.25">
      <c r="A7" s="20" t="s">
        <v>12</v>
      </c>
      <c r="B7" s="97">
        <f t="shared" si="0"/>
        <v>-4.9792531120332183E-2</v>
      </c>
      <c r="C7" s="50">
        <f>E7-[1]Austria!E7</f>
        <v>-237.1713394209155</v>
      </c>
      <c r="D7" s="82">
        <f>F7-[1]Austria!F7</f>
        <v>-187.01991465149331</v>
      </c>
      <c r="E7" s="119">
        <v>2109.2105263157891</v>
      </c>
      <c r="F7" s="82">
        <v>2219.7368421052633</v>
      </c>
      <c r="G7" s="82">
        <v>1293</v>
      </c>
      <c r="H7" s="1">
        <v>1714.64</v>
      </c>
      <c r="I7" s="1">
        <v>2600.3000000000002</v>
      </c>
      <c r="J7" s="1">
        <v>968</v>
      </c>
      <c r="K7" s="122">
        <v>187.95</v>
      </c>
      <c r="L7" s="76">
        <v>2158</v>
      </c>
      <c r="M7" s="76">
        <v>2034.6</v>
      </c>
      <c r="N7" s="76">
        <v>1796.05</v>
      </c>
      <c r="O7" s="76">
        <v>1412.65</v>
      </c>
      <c r="P7" s="76">
        <v>2314.25</v>
      </c>
      <c r="Q7" s="76">
        <v>338</v>
      </c>
      <c r="R7" s="76">
        <v>2052</v>
      </c>
      <c r="S7" s="76">
        <v>1141</v>
      </c>
      <c r="T7" s="1">
        <v>1521</v>
      </c>
      <c r="U7" s="29">
        <v>774</v>
      </c>
    </row>
    <row r="8" spans="1:21" x14ac:dyDescent="0.25">
      <c r="A8" s="20" t="s">
        <v>9</v>
      </c>
      <c r="B8" s="97">
        <f t="shared" si="0"/>
        <v>0.25770277456285795</v>
      </c>
      <c r="C8" s="50">
        <f>E8-[1]Austria!E8</f>
        <v>-3964.9814925281826</v>
      </c>
      <c r="D8" s="82">
        <f>F8-[1]Austria!F8</f>
        <v>-2844.6842258217475</v>
      </c>
      <c r="E8" s="119">
        <v>21161.84210526316</v>
      </c>
      <c r="F8" s="82">
        <v>16825.78947368421</v>
      </c>
      <c r="G8" s="82">
        <v>13723.3</v>
      </c>
      <c r="H8" s="1">
        <v>12088.32</v>
      </c>
      <c r="I8" s="1">
        <v>16528.2</v>
      </c>
      <c r="J8" s="1">
        <f>6284+973</f>
        <v>7257</v>
      </c>
      <c r="K8" s="82">
        <v>595.70000000000005</v>
      </c>
      <c r="L8" s="1">
        <v>15652</v>
      </c>
      <c r="M8" s="1">
        <v>12174.2</v>
      </c>
      <c r="N8" s="1">
        <v>15764.55</v>
      </c>
      <c r="O8" s="1">
        <v>8214.5</v>
      </c>
      <c r="P8" s="1">
        <v>14415.05</v>
      </c>
      <c r="Q8" s="1">
        <v>16976</v>
      </c>
      <c r="R8" s="1">
        <v>11734</v>
      </c>
      <c r="S8" s="1">
        <v>13096</v>
      </c>
      <c r="T8" s="1">
        <v>9967</v>
      </c>
      <c r="U8" s="29">
        <v>4990</v>
      </c>
    </row>
    <row r="9" spans="1:21" x14ac:dyDescent="0.25">
      <c r="A9" s="20" t="s">
        <v>14</v>
      </c>
      <c r="B9" s="97"/>
      <c r="C9" s="50">
        <f>E9-[1]Austria!E9</f>
        <v>0</v>
      </c>
      <c r="D9" s="82">
        <f>F9-[1]Austria!F9</f>
        <v>0</v>
      </c>
      <c r="E9" s="119"/>
      <c r="F9" s="82"/>
      <c r="G9" s="82"/>
      <c r="H9" s="1"/>
      <c r="I9" s="1"/>
      <c r="J9" s="1"/>
      <c r="K9" s="82"/>
      <c r="L9" s="1"/>
      <c r="M9" s="1"/>
      <c r="N9" s="1"/>
      <c r="O9" s="1">
        <v>0</v>
      </c>
      <c r="P9" s="1">
        <v>0</v>
      </c>
      <c r="Q9" s="1">
        <v>0</v>
      </c>
      <c r="R9" s="1">
        <v>252</v>
      </c>
      <c r="S9" s="1">
        <v>41</v>
      </c>
      <c r="T9" s="1">
        <v>7</v>
      </c>
      <c r="U9" s="29">
        <v>140</v>
      </c>
    </row>
    <row r="10" spans="1:21" x14ac:dyDescent="0.25">
      <c r="A10" s="20" t="s">
        <v>3</v>
      </c>
      <c r="B10" s="97">
        <f t="shared" si="0"/>
        <v>-0.13164389752146557</v>
      </c>
      <c r="C10" s="50">
        <f>E10-[1]Austria!E10</f>
        <v>-2691.1821838816722</v>
      </c>
      <c r="D10" s="82">
        <f>F10-[1]Austria!F10</f>
        <v>-2807.7371174230284</v>
      </c>
      <c r="E10" s="119">
        <v>19721.052631578947</v>
      </c>
      <c r="F10" s="82">
        <v>22710.78947368421</v>
      </c>
      <c r="G10" s="82">
        <v>26401.8</v>
      </c>
      <c r="H10" s="1">
        <v>19740.72</v>
      </c>
      <c r="I10" s="1">
        <v>20660.099999999999</v>
      </c>
      <c r="J10" s="1">
        <f>16859+577</f>
        <v>17436</v>
      </c>
      <c r="K10" s="82">
        <v>14669.5</v>
      </c>
      <c r="L10" s="1">
        <v>32338</v>
      </c>
      <c r="M10" s="1">
        <v>41968.6</v>
      </c>
      <c r="N10" s="1">
        <v>27064.5</v>
      </c>
      <c r="O10" s="1">
        <v>32998</v>
      </c>
      <c r="P10" s="1">
        <v>41771.65</v>
      </c>
      <c r="Q10" s="1">
        <v>37202</v>
      </c>
      <c r="R10" s="1">
        <v>35703</v>
      </c>
      <c r="S10" s="1">
        <v>38454</v>
      </c>
      <c r="T10" s="1">
        <v>36322</v>
      </c>
      <c r="U10" s="29">
        <v>30395</v>
      </c>
    </row>
    <row r="11" spans="1:21" x14ac:dyDescent="0.25">
      <c r="A11" s="20" t="s">
        <v>17</v>
      </c>
      <c r="B11" s="97">
        <f t="shared" si="0"/>
        <v>0.69966101694915284</v>
      </c>
      <c r="C11" s="50">
        <f>E11-[1]Austria!E11</f>
        <v>-170.99550314321107</v>
      </c>
      <c r="D11" s="82">
        <f>F11-[1]Austria!F11</f>
        <v>-198.05250921549748</v>
      </c>
      <c r="E11" s="119">
        <v>659.73684210526324</v>
      </c>
      <c r="F11" s="82">
        <v>388.15789473684208</v>
      </c>
      <c r="G11" s="82">
        <v>180.7</v>
      </c>
      <c r="H11" s="1">
        <v>82.08</v>
      </c>
      <c r="I11" s="1">
        <v>64.95</v>
      </c>
      <c r="J11" s="1">
        <v>18</v>
      </c>
      <c r="K11" s="122">
        <v>0</v>
      </c>
      <c r="L11" s="76">
        <v>30</v>
      </c>
      <c r="M11" s="76">
        <v>513.45000000000005</v>
      </c>
      <c r="N11" s="76">
        <v>100.8</v>
      </c>
      <c r="O11" s="76">
        <v>21</v>
      </c>
      <c r="P11" s="76">
        <v>29.4</v>
      </c>
      <c r="Q11" s="76">
        <v>83</v>
      </c>
      <c r="R11" s="76">
        <v>12</v>
      </c>
      <c r="S11" s="76">
        <v>9</v>
      </c>
      <c r="T11" s="1"/>
      <c r="U11" s="29"/>
    </row>
    <row r="12" spans="1:21" x14ac:dyDescent="0.25">
      <c r="A12" s="21" t="s">
        <v>10</v>
      </c>
      <c r="B12" s="97">
        <f t="shared" si="0"/>
        <v>0.25996191034280686</v>
      </c>
      <c r="C12" s="50">
        <f>E12-[1]Austria!E12</f>
        <v>-349.88138393062036</v>
      </c>
      <c r="D12" s="82">
        <f>F12-[1]Austria!F12</f>
        <v>-131.19870294742987</v>
      </c>
      <c r="E12" s="119">
        <v>4526.5789473684208</v>
      </c>
      <c r="F12" s="82">
        <v>3592.6315789473683</v>
      </c>
      <c r="G12" s="82">
        <v>4937.0499999999993</v>
      </c>
      <c r="H12" s="1">
        <v>5290.6</v>
      </c>
      <c r="I12" s="1">
        <v>9634.65</v>
      </c>
      <c r="J12" s="1">
        <f>2465+151</f>
        <v>2616</v>
      </c>
      <c r="K12" s="122">
        <v>198.5</v>
      </c>
      <c r="L12" s="76">
        <v>14700</v>
      </c>
      <c r="M12" s="76">
        <v>12743.05</v>
      </c>
      <c r="N12" s="76">
        <v>17096.05</v>
      </c>
      <c r="O12" s="76">
        <v>12106.25</v>
      </c>
      <c r="P12" s="76">
        <v>17335.3</v>
      </c>
      <c r="Q12" s="76">
        <v>18810</v>
      </c>
      <c r="R12" s="76">
        <v>19428</v>
      </c>
      <c r="S12" s="76">
        <v>16838</v>
      </c>
      <c r="T12" s="1">
        <v>15468</v>
      </c>
      <c r="U12" s="29">
        <v>18059</v>
      </c>
    </row>
    <row r="13" spans="1:21" x14ac:dyDescent="0.25">
      <c r="A13" s="21" t="s">
        <v>27</v>
      </c>
      <c r="B13" s="97">
        <f t="shared" si="0"/>
        <v>0.19516483516483521</v>
      </c>
      <c r="C13" s="50">
        <f>E13-[1]Austria!E13</f>
        <v>-339.92145796050727</v>
      </c>
      <c r="D13" s="82">
        <f>F13-[1]Austria!F13</f>
        <v>-173.76871778399845</v>
      </c>
      <c r="E13" s="119">
        <v>3577.6315789473683</v>
      </c>
      <c r="F13" s="82">
        <v>2993.4210526315787</v>
      </c>
      <c r="G13" s="82">
        <v>2035.0500000000002</v>
      </c>
      <c r="H13" s="1">
        <v>3989.04</v>
      </c>
      <c r="I13" s="1">
        <v>6933.8</v>
      </c>
      <c r="J13" s="1">
        <f>1700+147</f>
        <v>1847</v>
      </c>
      <c r="K13" s="122">
        <v>357.25</v>
      </c>
      <c r="L13" s="76">
        <v>6525</v>
      </c>
      <c r="M13" s="76">
        <v>7089.45</v>
      </c>
      <c r="N13" s="76">
        <v>6744.3</v>
      </c>
      <c r="O13" s="76">
        <v>5241.55</v>
      </c>
      <c r="P13" s="76">
        <v>8036.7</v>
      </c>
      <c r="Q13" s="76">
        <v>8298</v>
      </c>
      <c r="R13" s="76">
        <v>8932</v>
      </c>
      <c r="S13" s="76">
        <v>6211</v>
      </c>
      <c r="T13" s="1">
        <v>7311</v>
      </c>
      <c r="U13" s="29">
        <v>7268</v>
      </c>
    </row>
    <row r="14" spans="1:21" x14ac:dyDescent="0.25">
      <c r="A14" s="20" t="s">
        <v>26</v>
      </c>
      <c r="B14" s="97"/>
      <c r="C14" s="50">
        <f>E14-[1]Austria!E14</f>
        <v>0</v>
      </c>
      <c r="D14" s="82">
        <f>F14-[1]Austria!F14</f>
        <v>0</v>
      </c>
      <c r="E14" s="119">
        <v>0</v>
      </c>
      <c r="F14" s="82">
        <v>0</v>
      </c>
      <c r="G14" s="82">
        <v>0</v>
      </c>
      <c r="H14" s="1">
        <v>0</v>
      </c>
      <c r="I14" s="1">
        <v>0</v>
      </c>
      <c r="J14" s="1">
        <v>0</v>
      </c>
      <c r="K14" s="122">
        <v>25.2</v>
      </c>
      <c r="L14" s="76">
        <v>2325</v>
      </c>
      <c r="M14" s="76">
        <v>2732.1</v>
      </c>
      <c r="N14" s="76">
        <v>2863.35</v>
      </c>
      <c r="O14" s="76">
        <v>2118.9</v>
      </c>
      <c r="P14" s="76">
        <v>4149.6000000000004</v>
      </c>
      <c r="Q14" s="76">
        <v>3701</v>
      </c>
      <c r="R14" s="76">
        <v>4633</v>
      </c>
      <c r="S14" s="76">
        <v>3674</v>
      </c>
      <c r="T14" s="1">
        <v>5054</v>
      </c>
      <c r="U14" s="29">
        <v>4274</v>
      </c>
    </row>
    <row r="15" spans="1:21" x14ac:dyDescent="0.25">
      <c r="A15" s="20" t="s">
        <v>95</v>
      </c>
      <c r="B15" s="97">
        <f t="shared" si="0"/>
        <v>-0.68444444444444441</v>
      </c>
      <c r="C15" s="50">
        <f>E15-[1]Austria!E15</f>
        <v>-349.82219061166427</v>
      </c>
      <c r="D15" s="82">
        <f>F15-[1]Austria!F15</f>
        <v>-443.93574389329899</v>
      </c>
      <c r="E15" s="119">
        <v>93.421052631578945</v>
      </c>
      <c r="F15" s="82">
        <v>296.0526315789474</v>
      </c>
      <c r="G15" s="82">
        <v>79.900000000000006</v>
      </c>
      <c r="H15" s="1">
        <v>0</v>
      </c>
      <c r="I15" s="1">
        <v>4.0999999999999996</v>
      </c>
      <c r="J15" s="1">
        <v>0</v>
      </c>
      <c r="K15" s="122">
        <v>0</v>
      </c>
      <c r="L15" s="76"/>
      <c r="M15" s="76">
        <v>2.1</v>
      </c>
      <c r="N15" s="76">
        <v>3.15</v>
      </c>
      <c r="O15" s="76">
        <v>5.25</v>
      </c>
      <c r="P15" s="76">
        <v>29.15</v>
      </c>
      <c r="Q15" s="76">
        <v>5</v>
      </c>
      <c r="R15" s="76">
        <v>1</v>
      </c>
      <c r="S15" s="76">
        <v>0</v>
      </c>
      <c r="T15" s="1">
        <v>17</v>
      </c>
      <c r="U15" s="29">
        <v>29</v>
      </c>
    </row>
    <row r="16" spans="1:21" x14ac:dyDescent="0.25">
      <c r="A16" s="20" t="s">
        <v>13</v>
      </c>
      <c r="B16" s="97">
        <f t="shared" si="0"/>
        <v>0.55743775606681389</v>
      </c>
      <c r="C16" s="50">
        <f>E16-[1]Austria!E16</f>
        <v>-495.80392786674565</v>
      </c>
      <c r="D16" s="82">
        <f>F16-[1]Austria!F16</f>
        <v>-507.16652136006951</v>
      </c>
      <c r="E16" s="119">
        <v>5201.8421052631584</v>
      </c>
      <c r="F16" s="82">
        <v>3340</v>
      </c>
      <c r="G16" s="82">
        <v>580.75</v>
      </c>
      <c r="H16" s="1">
        <v>793.24</v>
      </c>
      <c r="I16" s="1">
        <v>1327.8</v>
      </c>
      <c r="J16" s="1">
        <f>285+21</f>
        <v>306</v>
      </c>
      <c r="K16" s="122">
        <v>245.3</v>
      </c>
      <c r="L16" s="76">
        <v>1007</v>
      </c>
      <c r="M16" s="76">
        <v>920.4</v>
      </c>
      <c r="N16" s="76">
        <v>1471.5</v>
      </c>
      <c r="O16" s="76">
        <v>1132.95</v>
      </c>
      <c r="P16" s="76">
        <v>1311.45</v>
      </c>
      <c r="Q16" s="76">
        <v>1669</v>
      </c>
      <c r="R16" s="76">
        <v>1856</v>
      </c>
      <c r="S16" s="76">
        <v>1772</v>
      </c>
      <c r="T16" s="1">
        <v>951</v>
      </c>
      <c r="U16" s="29">
        <v>879</v>
      </c>
    </row>
    <row r="17" spans="1:22" x14ac:dyDescent="0.25">
      <c r="A17" s="40" t="s">
        <v>134</v>
      </c>
      <c r="B17" s="97">
        <f t="shared" si="0"/>
        <v>0.99733333333333307</v>
      </c>
      <c r="C17" s="50">
        <f>E17-[1]Austria!E17</f>
        <v>-310.28916012786976</v>
      </c>
      <c r="D17" s="82">
        <f>F17-[1]Austria!F17</f>
        <v>-111.3993025283346</v>
      </c>
      <c r="E17" s="119">
        <v>3745</v>
      </c>
      <c r="F17" s="82">
        <v>1875.0000000000002</v>
      </c>
      <c r="G17" s="82">
        <v>1610.3</v>
      </c>
      <c r="H17" s="1">
        <v>1818.68</v>
      </c>
      <c r="I17" s="1">
        <v>1587.6</v>
      </c>
      <c r="J17" s="1">
        <v>335</v>
      </c>
      <c r="K17" s="122"/>
      <c r="L17" s="76"/>
      <c r="M17" s="76"/>
      <c r="N17" s="76"/>
      <c r="O17" s="76"/>
      <c r="P17" s="76"/>
      <c r="Q17" s="76"/>
      <c r="R17" s="76"/>
      <c r="S17" s="76"/>
      <c r="T17" s="1"/>
      <c r="U17" s="29"/>
    </row>
    <row r="18" spans="1:22" x14ac:dyDescent="0.25">
      <c r="A18" s="40" t="s">
        <v>116</v>
      </c>
      <c r="B18" s="97"/>
      <c r="C18" s="50">
        <f>E18-[1]Austria!E18</f>
        <v>0</v>
      </c>
      <c r="D18" s="82">
        <f>F18-[1]Austria!F18</f>
        <v>0</v>
      </c>
      <c r="E18" s="119"/>
      <c r="F18" s="82"/>
      <c r="G18" s="82">
        <v>3.9</v>
      </c>
      <c r="H18" s="1">
        <v>0</v>
      </c>
      <c r="I18" s="1">
        <v>12.6</v>
      </c>
      <c r="J18" s="1">
        <v>0</v>
      </c>
      <c r="K18" s="82">
        <v>0</v>
      </c>
      <c r="L18" s="1"/>
      <c r="M18" s="1">
        <v>0</v>
      </c>
      <c r="N18" s="1">
        <v>1.05</v>
      </c>
      <c r="O18" s="1">
        <v>0</v>
      </c>
      <c r="P18" s="1">
        <v>59</v>
      </c>
      <c r="Q18" s="1">
        <v>11</v>
      </c>
      <c r="R18" s="1">
        <v>131</v>
      </c>
      <c r="S18" s="1">
        <v>53</v>
      </c>
      <c r="T18" s="1">
        <v>105</v>
      </c>
      <c r="U18" s="29">
        <v>43</v>
      </c>
    </row>
    <row r="19" spans="1:22" x14ac:dyDescent="0.25">
      <c r="A19" s="20" t="s">
        <v>96</v>
      </c>
      <c r="B19" s="97">
        <f t="shared" si="0"/>
        <v>0.83556851311953328</v>
      </c>
      <c r="C19" s="50">
        <f>E19-[1]Austria!E19</f>
        <v>-435.32678688875649</v>
      </c>
      <c r="D19" s="82">
        <f>F19-[1]Austria!F19</f>
        <v>-386.73847871640714</v>
      </c>
      <c r="E19" s="119">
        <v>2485.2631578947367</v>
      </c>
      <c r="F19" s="82">
        <v>1353.9473684210527</v>
      </c>
      <c r="G19" s="82">
        <v>341.6</v>
      </c>
      <c r="H19" s="1">
        <v>1103.8</v>
      </c>
      <c r="I19" s="1">
        <v>4118.2</v>
      </c>
      <c r="J19" s="1">
        <v>0</v>
      </c>
      <c r="K19" s="1">
        <v>20</v>
      </c>
      <c r="L19" s="1">
        <v>3275</v>
      </c>
      <c r="M19" s="1">
        <v>2691.75</v>
      </c>
      <c r="N19" s="1">
        <v>2795.5</v>
      </c>
      <c r="O19" s="1">
        <v>1113.5999999999999</v>
      </c>
      <c r="P19" s="1">
        <v>3085.4</v>
      </c>
      <c r="Q19" s="1">
        <v>2086</v>
      </c>
      <c r="R19" s="1">
        <v>3296</v>
      </c>
      <c r="S19" s="1">
        <v>16</v>
      </c>
      <c r="T19" s="1"/>
      <c r="U19" s="29"/>
    </row>
    <row r="20" spans="1:22" ht="13.8" thickBot="1" x14ac:dyDescent="0.3">
      <c r="A20" s="22" t="s">
        <v>59</v>
      </c>
      <c r="B20" s="97">
        <f t="shared" si="0"/>
        <v>0.87119955776672209</v>
      </c>
      <c r="C20" s="50">
        <f>E20-[1]Austria!E20</f>
        <v>-1016.1611526636989</v>
      </c>
      <c r="D20" s="10">
        <f>F20-[1]Austria!F20</f>
        <v>-371.84462900931521</v>
      </c>
      <c r="E20" s="116">
        <v>5344.7368421052633</v>
      </c>
      <c r="F20" s="10">
        <v>2856.3157894736842</v>
      </c>
      <c r="G20" s="10">
        <v>2550.5500000000002</v>
      </c>
      <c r="H20" s="10">
        <v>1442.32</v>
      </c>
      <c r="I20" s="10">
        <v>1732.8</v>
      </c>
      <c r="J20" s="10">
        <f>58+138</f>
        <v>196</v>
      </c>
      <c r="K20" s="77">
        <v>283</v>
      </c>
      <c r="L20" s="77">
        <v>294</v>
      </c>
      <c r="M20" s="77">
        <v>367</v>
      </c>
      <c r="N20" s="77">
        <v>1540.2</v>
      </c>
      <c r="O20" s="77">
        <v>266.14999999999998</v>
      </c>
      <c r="P20" s="77">
        <v>459.75</v>
      </c>
      <c r="Q20" s="77">
        <v>2089</v>
      </c>
      <c r="R20" s="77">
        <v>298</v>
      </c>
      <c r="S20" s="77">
        <v>64</v>
      </c>
      <c r="T20" s="10">
        <v>137</v>
      </c>
      <c r="U20" s="31">
        <v>349</v>
      </c>
    </row>
    <row r="21" spans="1:22" ht="13.8" thickBot="1" x14ac:dyDescent="0.3">
      <c r="A21" s="32" t="s">
        <v>23</v>
      </c>
      <c r="B21" s="111">
        <f t="shared" si="0"/>
        <v>0.25934646091583741</v>
      </c>
      <c r="C21" s="70">
        <f>E21-[1]Austria!E21</f>
        <v>-13053.672356567084</v>
      </c>
      <c r="D21" s="34">
        <f>F21-[1]Austria!F21</f>
        <v>-10908.687269612565</v>
      </c>
      <c r="E21" s="117">
        <f t="shared" ref="E21:L21" si="1">SUM(E2:E20)</f>
        <v>87129.210526315786</v>
      </c>
      <c r="F21" s="34">
        <f t="shared" si="1"/>
        <v>69186.052631578932</v>
      </c>
      <c r="G21" s="34">
        <f t="shared" si="1"/>
        <v>69953.350000000006</v>
      </c>
      <c r="H21" s="34">
        <f t="shared" si="1"/>
        <v>61513.48</v>
      </c>
      <c r="I21" s="34">
        <f t="shared" si="1"/>
        <v>86742.300000000017</v>
      </c>
      <c r="J21" s="34">
        <f t="shared" si="1"/>
        <v>37479</v>
      </c>
      <c r="K21" s="34">
        <f t="shared" si="1"/>
        <v>19428.55</v>
      </c>
      <c r="L21" s="34">
        <f t="shared" si="1"/>
        <v>93192</v>
      </c>
      <c r="M21" s="34">
        <v>98189.650000000009</v>
      </c>
      <c r="N21" s="34">
        <f>SUM(N2:N20)</f>
        <v>92004.85</v>
      </c>
      <c r="O21" s="34">
        <f>SUM(O2:O20)</f>
        <v>73697.849999999991</v>
      </c>
      <c r="P21" s="34">
        <f t="shared" ref="P21:U21" si="2">SUM(P2:P20)</f>
        <v>107909.04999999999</v>
      </c>
      <c r="Q21" s="34">
        <f t="shared" si="2"/>
        <v>101889</v>
      </c>
      <c r="R21" s="34">
        <f t="shared" si="2"/>
        <v>103398</v>
      </c>
      <c r="S21" s="34">
        <f t="shared" si="2"/>
        <v>93606</v>
      </c>
      <c r="T21" s="34">
        <f t="shared" si="2"/>
        <v>86270</v>
      </c>
      <c r="U21" s="35">
        <f t="shared" si="2"/>
        <v>76243</v>
      </c>
    </row>
    <row r="22" spans="1:22" x14ac:dyDescent="0.25">
      <c r="B22" s="36"/>
      <c r="C22" s="36"/>
      <c r="D22" s="36"/>
      <c r="E22" s="36"/>
      <c r="F22" s="36"/>
      <c r="G22" s="36"/>
      <c r="H22" s="36"/>
      <c r="I22" s="36"/>
      <c r="J22" s="36"/>
      <c r="K22" s="36"/>
    </row>
    <row r="27" spans="1:22" ht="17.399999999999999" x14ac:dyDescent="0.3">
      <c r="T27" s="5"/>
      <c r="U27" s="1"/>
      <c r="V27" s="1"/>
    </row>
    <row r="28" spans="1:22" ht="17.399999999999999" x14ac:dyDescent="0.3">
      <c r="T28" s="5"/>
      <c r="U28" s="1"/>
      <c r="V28" s="1"/>
    </row>
    <row r="29" spans="1:22" ht="17.399999999999999" x14ac:dyDescent="0.3">
      <c r="T29" s="5"/>
      <c r="U29" s="1"/>
      <c r="V29" s="1"/>
    </row>
    <row r="30" spans="1:22" ht="17.399999999999999" x14ac:dyDescent="0.3">
      <c r="T30" s="5"/>
      <c r="U30" s="1"/>
      <c r="V30" s="1"/>
    </row>
    <row r="31" spans="1:22" ht="17.399999999999999" x14ac:dyDescent="0.3">
      <c r="T31" s="5"/>
      <c r="U31" s="1"/>
      <c r="V31" s="1"/>
    </row>
    <row r="32" spans="1:22" ht="17.399999999999999" x14ac:dyDescent="0.3">
      <c r="T32" s="5"/>
      <c r="U32" s="1"/>
      <c r="V32" s="1"/>
    </row>
    <row r="33" spans="20:22" ht="17.399999999999999" x14ac:dyDescent="0.3">
      <c r="T33" s="5"/>
      <c r="U33" s="1"/>
      <c r="V33" s="1"/>
    </row>
    <row r="34" spans="20:22" ht="17.399999999999999" x14ac:dyDescent="0.3">
      <c r="T34" s="5"/>
      <c r="U34" s="1"/>
      <c r="V34" s="1"/>
    </row>
    <row r="35" spans="20:22" ht="17.399999999999999" x14ac:dyDescent="0.3">
      <c r="T35" s="5"/>
      <c r="U35" s="1"/>
      <c r="V35" s="1"/>
    </row>
    <row r="36" spans="20:22" ht="17.399999999999999" x14ac:dyDescent="0.3">
      <c r="T36" s="5"/>
      <c r="U36" s="1"/>
      <c r="V36" s="1"/>
    </row>
    <row r="37" spans="20:22" ht="17.399999999999999" x14ac:dyDescent="0.3">
      <c r="T37" s="6"/>
      <c r="U37" s="1"/>
      <c r="V37" s="1"/>
    </row>
    <row r="38" spans="20:22" ht="18" x14ac:dyDescent="0.35">
      <c r="T38" s="7"/>
      <c r="U38" s="2"/>
      <c r="V38" s="2"/>
    </row>
  </sheetData>
  <conditionalFormatting sqref="B9">
    <cfRule type="containsText" dxfId="1" priority="1" operator="containsText" text="#DIV/0">
      <formula>NOT(ISERROR(SEARCH("#DIV/0",B9)))</formula>
    </cfRule>
    <cfRule type="cellIs" dxfId="0" priority="2" operator="equal">
      <formula>"#DIV/0"</formula>
    </cfRule>
    <cfRule type="expression" priority="3">
      <formula>"#DIV/0"</formula>
    </cfRule>
  </conditionalFormatting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8"/>
  <sheetViews>
    <sheetView workbookViewId="0"/>
  </sheetViews>
  <sheetFormatPr defaultColWidth="8.77734375" defaultRowHeight="13.2" x14ac:dyDescent="0.25"/>
  <cols>
    <col min="1" max="1" width="19.6640625" customWidth="1"/>
    <col min="2" max="2" width="10.6640625" customWidth="1"/>
    <col min="3" max="3" width="11.6640625" bestFit="1" customWidth="1"/>
    <col min="4" max="4" width="11.33203125" bestFit="1" customWidth="1"/>
    <col min="5" max="10" width="11.33203125" customWidth="1"/>
    <col min="11" max="21" width="10.109375" bestFit="1" customWidth="1"/>
  </cols>
  <sheetData>
    <row r="1" spans="1:21" ht="13.8" thickBot="1" x14ac:dyDescent="0.3">
      <c r="A1" s="23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1" x14ac:dyDescent="0.25">
      <c r="A2" s="20" t="s">
        <v>4</v>
      </c>
      <c r="B2" s="27">
        <f>(E2-F2)/F2</f>
        <v>-0.18728606356968217</v>
      </c>
      <c r="C2" s="50">
        <f>E2-[1]Belgium!E2</f>
        <v>-611</v>
      </c>
      <c r="D2" s="1">
        <f>F2-[1]Belgium!F2</f>
        <v>-1076</v>
      </c>
      <c r="E2" s="114">
        <v>1662</v>
      </c>
      <c r="F2" s="1">
        <v>2045</v>
      </c>
      <c r="G2" s="1">
        <v>1887</v>
      </c>
      <c r="H2" s="1">
        <v>162</v>
      </c>
      <c r="I2" s="1">
        <v>2459</v>
      </c>
      <c r="J2" s="1">
        <v>0</v>
      </c>
      <c r="K2" s="1">
        <v>150</v>
      </c>
      <c r="L2" s="1">
        <v>2532</v>
      </c>
      <c r="M2" s="1">
        <v>1840</v>
      </c>
      <c r="N2" s="1">
        <v>862</v>
      </c>
      <c r="O2" s="1">
        <v>0</v>
      </c>
      <c r="P2" s="1">
        <v>100</v>
      </c>
      <c r="Q2" s="1">
        <v>0</v>
      </c>
      <c r="R2" s="1">
        <v>0</v>
      </c>
      <c r="S2" s="1">
        <v>1000</v>
      </c>
      <c r="T2" s="1">
        <v>5000</v>
      </c>
      <c r="U2" s="29">
        <v>2900</v>
      </c>
    </row>
    <row r="3" spans="1:21" x14ac:dyDescent="0.25">
      <c r="A3" s="20" t="s">
        <v>101</v>
      </c>
      <c r="B3" s="27"/>
      <c r="C3" s="50">
        <f>E3-[1]Belgium!E3</f>
        <v>0</v>
      </c>
      <c r="D3" s="1">
        <f>F3-[1]Belgium!F3</f>
        <v>0</v>
      </c>
      <c r="E3" s="114"/>
      <c r="F3" s="1"/>
      <c r="G3" s="1"/>
      <c r="H3" s="1"/>
      <c r="I3" s="1"/>
      <c r="J3" s="1">
        <v>0</v>
      </c>
      <c r="K3" s="1"/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700</v>
      </c>
      <c r="U3" s="29">
        <v>150</v>
      </c>
    </row>
    <row r="4" spans="1:21" x14ac:dyDescent="0.25">
      <c r="A4" s="20" t="s">
        <v>2</v>
      </c>
      <c r="B4" s="27">
        <f>(E4-F4)/F4</f>
        <v>-0.85845588235294112</v>
      </c>
      <c r="C4" s="50">
        <f>E4-[1]Belgium!E4</f>
        <v>-36</v>
      </c>
      <c r="D4" s="1">
        <f>F4-[1]Belgium!F4</f>
        <v>-265</v>
      </c>
      <c r="E4" s="114">
        <v>77</v>
      </c>
      <c r="F4" s="1">
        <v>544</v>
      </c>
      <c r="G4" s="1">
        <v>6</v>
      </c>
      <c r="H4" s="1">
        <v>211</v>
      </c>
      <c r="I4" s="1">
        <v>1446</v>
      </c>
      <c r="J4" s="1">
        <v>15</v>
      </c>
      <c r="K4" s="1">
        <v>20</v>
      </c>
      <c r="L4" s="1">
        <v>490</v>
      </c>
      <c r="M4" s="1">
        <v>1650</v>
      </c>
      <c r="N4" s="1">
        <v>412</v>
      </c>
      <c r="O4" s="1">
        <v>135</v>
      </c>
      <c r="P4" s="1">
        <v>140</v>
      </c>
      <c r="Q4" s="1">
        <v>164</v>
      </c>
      <c r="R4" s="1">
        <v>0</v>
      </c>
      <c r="S4" s="1">
        <v>0</v>
      </c>
      <c r="T4" s="1">
        <v>1500</v>
      </c>
      <c r="U4" s="29">
        <v>0</v>
      </c>
    </row>
    <row r="5" spans="1:21" x14ac:dyDescent="0.25">
      <c r="A5" s="20" t="s">
        <v>102</v>
      </c>
      <c r="B5" s="27"/>
      <c r="C5" s="50">
        <f>E5-[1]Belgium!E5</f>
        <v>0</v>
      </c>
      <c r="D5" s="1">
        <f>F5-[1]Belgium!F5</f>
        <v>0</v>
      </c>
      <c r="E5" s="11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9">
        <v>700</v>
      </c>
    </row>
    <row r="6" spans="1:21" x14ac:dyDescent="0.25">
      <c r="A6" s="20" t="s">
        <v>3</v>
      </c>
      <c r="B6" s="27">
        <f>(E6-F6)/F6</f>
        <v>-0.5134736842105263</v>
      </c>
      <c r="C6" s="50">
        <f>E6-[1]Belgium!E6</f>
        <v>-1946</v>
      </c>
      <c r="D6" s="1">
        <f>F6-[1]Belgium!F6</f>
        <v>-2476</v>
      </c>
      <c r="E6" s="114">
        <v>2311</v>
      </c>
      <c r="F6" s="1">
        <v>4750</v>
      </c>
      <c r="G6" s="1">
        <v>5725</v>
      </c>
      <c r="H6" s="1">
        <v>14043</v>
      </c>
      <c r="I6" s="1">
        <v>8643</v>
      </c>
      <c r="J6" s="1">
        <v>6527</v>
      </c>
      <c r="K6" s="1">
        <v>9675</v>
      </c>
      <c r="L6" s="1">
        <v>15556</v>
      </c>
      <c r="M6" s="1">
        <v>13584</v>
      </c>
      <c r="N6" s="1">
        <v>12665</v>
      </c>
      <c r="O6" s="1">
        <v>9531</v>
      </c>
      <c r="P6" s="1">
        <v>10300</v>
      </c>
      <c r="Q6" s="1">
        <v>6483.8710285198986</v>
      </c>
      <c r="R6" s="1">
        <v>16816</v>
      </c>
      <c r="S6" s="1">
        <v>10300</v>
      </c>
      <c r="T6" s="1">
        <v>13100</v>
      </c>
      <c r="U6" s="29">
        <v>14100</v>
      </c>
    </row>
    <row r="7" spans="1:21" x14ac:dyDescent="0.25">
      <c r="A7" s="21" t="s">
        <v>27</v>
      </c>
      <c r="B7" s="27">
        <f>(E7-F7)/F7</f>
        <v>-0.55481219692611161</v>
      </c>
      <c r="C7" s="50">
        <f>E7-[1]Belgium!E7</f>
        <v>-3863</v>
      </c>
      <c r="D7" s="1">
        <f>F7-[1]Belgium!F7</f>
        <v>-5406</v>
      </c>
      <c r="E7" s="114">
        <v>27083</v>
      </c>
      <c r="F7" s="1">
        <v>60835</v>
      </c>
      <c r="G7" s="1">
        <v>26619</v>
      </c>
      <c r="H7" s="1">
        <v>42249</v>
      </c>
      <c r="I7" s="1">
        <v>38222</v>
      </c>
      <c r="J7" s="1">
        <v>2566</v>
      </c>
      <c r="K7" s="76">
        <v>29196</v>
      </c>
      <c r="L7" s="76">
        <v>53549</v>
      </c>
      <c r="M7" s="76">
        <v>65039</v>
      </c>
      <c r="N7" s="76">
        <v>35450</v>
      </c>
      <c r="O7" s="76">
        <v>29042</v>
      </c>
      <c r="P7" s="76">
        <v>34870</v>
      </c>
      <c r="Q7" s="76">
        <v>43727.107804043306</v>
      </c>
      <c r="R7" s="76">
        <v>65397</v>
      </c>
      <c r="S7" s="76">
        <v>90500</v>
      </c>
      <c r="T7" s="1">
        <v>72300</v>
      </c>
      <c r="U7" s="29">
        <v>86400</v>
      </c>
    </row>
    <row r="8" spans="1:21" x14ac:dyDescent="0.25">
      <c r="A8" s="20" t="s">
        <v>26</v>
      </c>
      <c r="B8" s="27">
        <f>(E8-F8)/F8</f>
        <v>-0.45963379109446523</v>
      </c>
      <c r="C8" s="50">
        <f>E8-[1]Belgium!E8</f>
        <v>-2615</v>
      </c>
      <c r="D8" s="1">
        <f>F8-[1]Belgium!F8</f>
        <v>-2116</v>
      </c>
      <c r="E8" s="114">
        <v>10388</v>
      </c>
      <c r="F8" s="1">
        <v>19224</v>
      </c>
      <c r="G8" s="1">
        <v>10117</v>
      </c>
      <c r="H8" s="1">
        <v>27728</v>
      </c>
      <c r="I8" s="1">
        <v>31994</v>
      </c>
      <c r="J8" s="1">
        <v>852</v>
      </c>
      <c r="K8" s="76">
        <v>19919</v>
      </c>
      <c r="L8" s="76">
        <v>24509</v>
      </c>
      <c r="M8" s="76">
        <v>37769</v>
      </c>
      <c r="N8" s="76">
        <v>15857</v>
      </c>
      <c r="O8" s="76">
        <v>18252</v>
      </c>
      <c r="P8" s="76">
        <v>23000</v>
      </c>
      <c r="Q8" s="76">
        <v>15714.684931768952</v>
      </c>
      <c r="R8" s="76">
        <v>24425</v>
      </c>
      <c r="S8" s="76">
        <v>29800</v>
      </c>
      <c r="T8" s="1">
        <v>30500</v>
      </c>
      <c r="U8" s="29">
        <v>28800</v>
      </c>
    </row>
    <row r="9" spans="1:21" ht="13.8" thickBot="1" x14ac:dyDescent="0.3">
      <c r="A9" s="22" t="s">
        <v>59</v>
      </c>
      <c r="B9" s="28">
        <f>(E9-F9)/F9</f>
        <v>0.12350597609561753</v>
      </c>
      <c r="C9" s="50">
        <f>E9-[1]Belgium!E9</f>
        <v>-4299</v>
      </c>
      <c r="D9" s="10">
        <f>F9-[1]Belgium!F9</f>
        <v>-3541</v>
      </c>
      <c r="E9" s="116">
        <v>15228</v>
      </c>
      <c r="F9" s="10">
        <v>13554</v>
      </c>
      <c r="G9" s="10">
        <v>16983</v>
      </c>
      <c r="H9" s="10">
        <v>6150</v>
      </c>
      <c r="I9" s="10">
        <v>16624</v>
      </c>
      <c r="J9" s="10">
        <v>2685</v>
      </c>
      <c r="K9" s="77">
        <v>849</v>
      </c>
      <c r="L9" s="77">
        <v>16729</v>
      </c>
      <c r="M9" s="77">
        <v>9349</v>
      </c>
      <c r="N9" s="77">
        <v>7998</v>
      </c>
      <c r="O9" s="77">
        <v>5709</v>
      </c>
      <c r="P9" s="77">
        <v>9000</v>
      </c>
      <c r="Q9" s="77">
        <v>11915.566761010828</v>
      </c>
      <c r="R9" s="77">
        <v>7375</v>
      </c>
      <c r="S9" s="77">
        <v>19300</v>
      </c>
      <c r="T9" s="10">
        <v>18700</v>
      </c>
      <c r="U9" s="31">
        <v>2350</v>
      </c>
    </row>
    <row r="10" spans="1:21" ht="13.8" thickBot="1" x14ac:dyDescent="0.3">
      <c r="A10" s="32" t="s">
        <v>23</v>
      </c>
      <c r="B10" s="33">
        <f>(E10-F10)/F10</f>
        <v>-0.4378615579681433</v>
      </c>
      <c r="C10" s="70">
        <f>E10-[1]Belgium!E10</f>
        <v>-13370</v>
      </c>
      <c r="D10" s="34">
        <f>F10-[1]Belgium!F10</f>
        <v>-14880</v>
      </c>
      <c r="E10" s="117">
        <f t="shared" ref="E10:J10" si="0">SUM(E2:E9)</f>
        <v>56749</v>
      </c>
      <c r="F10" s="34">
        <f t="shared" si="0"/>
        <v>100952</v>
      </c>
      <c r="G10" s="34">
        <f t="shared" si="0"/>
        <v>61337</v>
      </c>
      <c r="H10" s="34">
        <f t="shared" si="0"/>
        <v>90543</v>
      </c>
      <c r="I10" s="34">
        <f t="shared" si="0"/>
        <v>99388</v>
      </c>
      <c r="J10" s="34">
        <f t="shared" si="0"/>
        <v>12645</v>
      </c>
      <c r="K10" s="34">
        <v>59809</v>
      </c>
      <c r="L10" s="34">
        <v>113365</v>
      </c>
      <c r="M10" s="34">
        <v>129231</v>
      </c>
      <c r="N10" s="34">
        <v>73244</v>
      </c>
      <c r="O10" s="34">
        <v>62669</v>
      </c>
      <c r="P10" s="34">
        <v>77410</v>
      </c>
      <c r="Q10" s="34">
        <v>78005.23052534298</v>
      </c>
      <c r="R10" s="34">
        <f>SUM(R2:R9)</f>
        <v>114013</v>
      </c>
      <c r="S10" s="34">
        <f>SUM(S2:S9)</f>
        <v>150900</v>
      </c>
      <c r="T10" s="34">
        <f>SUM(T2:T9)</f>
        <v>141800</v>
      </c>
      <c r="U10" s="35">
        <f>SUM(U2:U9)</f>
        <v>135400</v>
      </c>
    </row>
    <row r="11" spans="1:21" x14ac:dyDescent="0.25">
      <c r="A11" t="s">
        <v>103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21" x14ac:dyDescent="0.25">
      <c r="A12" s="52" t="s">
        <v>160</v>
      </c>
      <c r="B12" s="36"/>
      <c r="C12" s="36"/>
      <c r="D12" s="36"/>
      <c r="E12" s="36"/>
      <c r="F12" s="36"/>
      <c r="G12" s="36"/>
      <c r="H12" s="36"/>
      <c r="I12" s="36"/>
      <c r="J12" s="36"/>
    </row>
    <row r="13" spans="1:21" ht="13.8" thickBot="1" x14ac:dyDescent="0.3">
      <c r="B13" s="36"/>
      <c r="C13" s="36"/>
      <c r="D13" s="36"/>
      <c r="E13" s="36"/>
      <c r="F13" s="36"/>
      <c r="G13" s="36"/>
      <c r="H13" s="36"/>
      <c r="I13" s="36"/>
      <c r="J13" s="36"/>
    </row>
    <row r="14" spans="1:21" ht="13.8" thickBot="1" x14ac:dyDescent="0.3">
      <c r="A14" s="23" t="s">
        <v>25</v>
      </c>
      <c r="B14" s="24" t="s">
        <v>176</v>
      </c>
      <c r="C14" s="49" t="s">
        <v>177</v>
      </c>
      <c r="D14" s="25" t="s">
        <v>173</v>
      </c>
      <c r="E14" s="115">
        <v>44986</v>
      </c>
      <c r="F14" s="25">
        <v>44621</v>
      </c>
      <c r="G14" s="25">
        <v>44256</v>
      </c>
      <c r="H14" s="25">
        <v>43891</v>
      </c>
      <c r="I14" s="123">
        <v>43525</v>
      </c>
      <c r="J14" s="25">
        <v>43160</v>
      </c>
      <c r="K14" s="25">
        <v>42795</v>
      </c>
      <c r="L14" s="25">
        <v>42430</v>
      </c>
      <c r="M14" s="25">
        <f>M1</f>
        <v>42064</v>
      </c>
      <c r="N14" s="25">
        <v>41699</v>
      </c>
      <c r="O14" s="25">
        <v>41334</v>
      </c>
      <c r="P14" s="25">
        <v>40969</v>
      </c>
      <c r="Q14" s="25">
        <v>40603</v>
      </c>
      <c r="R14" s="25">
        <v>40238</v>
      </c>
      <c r="S14" s="25">
        <v>39873</v>
      </c>
      <c r="T14" s="25">
        <v>39508</v>
      </c>
      <c r="U14" s="26">
        <v>39142</v>
      </c>
    </row>
    <row r="15" spans="1:21" x14ac:dyDescent="0.25">
      <c r="A15" s="20" t="s">
        <v>7</v>
      </c>
      <c r="B15" s="27">
        <f>(E15-F15)/F15</f>
        <v>-0.25229460488023281</v>
      </c>
      <c r="C15" s="50">
        <f>E15-[1]Belgium!E15</f>
        <v>-34743</v>
      </c>
      <c r="D15" s="1">
        <f>F15-[1]Belgium!F15</f>
        <v>-32068</v>
      </c>
      <c r="E15" s="114">
        <v>93520</v>
      </c>
      <c r="F15" s="1">
        <v>125076</v>
      </c>
      <c r="G15" s="1">
        <v>151846</v>
      </c>
      <c r="H15" s="1">
        <v>94210</v>
      </c>
      <c r="I15" s="1">
        <v>130573</v>
      </c>
      <c r="J15" s="1">
        <v>84620</v>
      </c>
      <c r="K15" s="1">
        <v>111329</v>
      </c>
      <c r="L15" s="1">
        <v>132233</v>
      </c>
      <c r="M15" s="1">
        <v>114363</v>
      </c>
      <c r="N15" s="1">
        <v>72103</v>
      </c>
      <c r="O15" s="1">
        <v>56000</v>
      </c>
      <c r="P15" s="1">
        <v>63000</v>
      </c>
      <c r="Q15" s="1">
        <v>75600</v>
      </c>
      <c r="R15" s="1">
        <v>70800</v>
      </c>
      <c r="S15" s="1">
        <v>27600</v>
      </c>
      <c r="T15" s="1">
        <v>74900</v>
      </c>
      <c r="U15" s="29">
        <v>88700</v>
      </c>
    </row>
    <row r="16" spans="1:21" x14ac:dyDescent="0.25">
      <c r="A16" s="20" t="s">
        <v>100</v>
      </c>
      <c r="B16" s="27">
        <f>(E16-F16)/F16</f>
        <v>4.421875</v>
      </c>
      <c r="C16" s="50">
        <f>E16-[1]Belgium!E16</f>
        <v>-369</v>
      </c>
      <c r="D16" s="1">
        <f>F16-[1]Belgium!F16</f>
        <v>-461</v>
      </c>
      <c r="E16" s="114">
        <v>347</v>
      </c>
      <c r="F16" s="1">
        <v>64</v>
      </c>
      <c r="G16" s="1">
        <v>3274</v>
      </c>
      <c r="H16" s="1">
        <v>25</v>
      </c>
      <c r="I16" s="1">
        <v>829</v>
      </c>
      <c r="J16" s="1">
        <v>0</v>
      </c>
      <c r="K16" s="1">
        <v>247</v>
      </c>
      <c r="L16" s="1">
        <v>758</v>
      </c>
      <c r="M16" s="1">
        <v>1220</v>
      </c>
      <c r="N16" s="1">
        <v>695</v>
      </c>
      <c r="O16" s="1">
        <v>0</v>
      </c>
      <c r="P16" s="1">
        <v>300</v>
      </c>
      <c r="Q16" s="1">
        <v>0</v>
      </c>
      <c r="R16" s="1">
        <v>0</v>
      </c>
      <c r="S16" s="1">
        <v>0</v>
      </c>
      <c r="T16" s="1">
        <v>0</v>
      </c>
      <c r="U16" s="29">
        <v>800</v>
      </c>
    </row>
    <row r="17" spans="1:22" x14ac:dyDescent="0.25">
      <c r="A17" s="40" t="s">
        <v>163</v>
      </c>
      <c r="B17" s="27"/>
      <c r="C17" s="50">
        <f>E17-[1]Belgium!E17</f>
        <v>0</v>
      </c>
      <c r="D17" s="1">
        <f>F17-[1]Belgium!F17</f>
        <v>0</v>
      </c>
      <c r="E17" s="114">
        <v>0</v>
      </c>
      <c r="F17" s="1">
        <v>0</v>
      </c>
      <c r="G17" s="1">
        <v>186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29"/>
    </row>
    <row r="18" spans="1:22" x14ac:dyDescent="0.25">
      <c r="A18" s="40" t="s">
        <v>174</v>
      </c>
      <c r="B18" s="27">
        <f>(E18-F18)/F18</f>
        <v>-9.7623089983022077E-2</v>
      </c>
      <c r="C18" s="50">
        <f>E18-[1]Belgium!E18</f>
        <v>-210</v>
      </c>
      <c r="D18" s="1">
        <f>F18-[1]Belgium!F18</f>
        <v>-285</v>
      </c>
      <c r="E18" s="114">
        <v>1063</v>
      </c>
      <c r="F18" s="57">
        <v>1178</v>
      </c>
      <c r="G18" s="57"/>
      <c r="H18" s="1">
        <v>0</v>
      </c>
      <c r="I18" s="1"/>
      <c r="J18" s="1">
        <v>0</v>
      </c>
      <c r="K18" s="1">
        <v>0</v>
      </c>
      <c r="L18" s="1">
        <v>0</v>
      </c>
      <c r="M18" s="1"/>
      <c r="N18" s="1"/>
      <c r="O18" s="1"/>
      <c r="P18" s="1"/>
      <c r="Q18" s="1"/>
      <c r="R18" s="1"/>
      <c r="S18" s="1"/>
      <c r="T18" s="1"/>
      <c r="U18" s="29"/>
    </row>
    <row r="19" spans="1:22" ht="13.8" thickBot="1" x14ac:dyDescent="0.3">
      <c r="A19" s="30" t="s">
        <v>6</v>
      </c>
      <c r="B19" s="28"/>
      <c r="C19" s="50">
        <f>E19-[1]Belgium!E19</f>
        <v>-203</v>
      </c>
      <c r="D19" s="10">
        <f>F19-[1]Belgium!F19</f>
        <v>-752</v>
      </c>
      <c r="E19" s="116">
        <v>1646</v>
      </c>
      <c r="F19" s="10">
        <v>0</v>
      </c>
      <c r="G19" s="10">
        <v>808</v>
      </c>
      <c r="H19" s="10">
        <v>241</v>
      </c>
      <c r="I19" s="10">
        <v>1473</v>
      </c>
      <c r="J19" s="10">
        <v>337</v>
      </c>
      <c r="K19" s="10">
        <v>137</v>
      </c>
      <c r="L19" s="10">
        <v>89</v>
      </c>
      <c r="M19" s="10">
        <v>1382</v>
      </c>
      <c r="N19" s="10">
        <v>314</v>
      </c>
      <c r="O19" s="10">
        <v>0</v>
      </c>
      <c r="P19" s="10">
        <v>150</v>
      </c>
      <c r="Q19" s="10">
        <v>400</v>
      </c>
      <c r="R19" s="10">
        <v>0</v>
      </c>
      <c r="S19" s="10">
        <v>0</v>
      </c>
      <c r="T19" s="10">
        <v>0</v>
      </c>
      <c r="U19" s="31">
        <v>500</v>
      </c>
    </row>
    <row r="20" spans="1:22" ht="13.8" thickBot="1" x14ac:dyDescent="0.3">
      <c r="A20" s="32" t="s">
        <v>23</v>
      </c>
      <c r="B20" s="33">
        <f>(E20-F20)/F20</f>
        <v>-0.2354533795658576</v>
      </c>
      <c r="C20" s="70">
        <f>E20-[1]Belgium!E20</f>
        <v>-35525</v>
      </c>
      <c r="D20" s="34">
        <f>F20-[1]Belgium!F20</f>
        <v>-33566</v>
      </c>
      <c r="E20" s="117">
        <f t="shared" ref="E20:J20" si="1">SUM(E15:E19)</f>
        <v>96576</v>
      </c>
      <c r="F20" s="34">
        <f t="shared" si="1"/>
        <v>126318</v>
      </c>
      <c r="G20" s="34">
        <f t="shared" si="1"/>
        <v>156114</v>
      </c>
      <c r="H20" s="34">
        <f t="shared" si="1"/>
        <v>94476</v>
      </c>
      <c r="I20" s="34">
        <f t="shared" si="1"/>
        <v>132875</v>
      </c>
      <c r="J20" s="34">
        <f t="shared" si="1"/>
        <v>84957</v>
      </c>
      <c r="K20" s="34">
        <v>111713</v>
      </c>
      <c r="L20" s="34">
        <v>133080</v>
      </c>
      <c r="M20" s="34">
        <v>116965</v>
      </c>
      <c r="N20" s="34">
        <v>73112</v>
      </c>
      <c r="O20" s="34">
        <v>56000</v>
      </c>
      <c r="P20" s="34">
        <v>63450</v>
      </c>
      <c r="Q20" s="34">
        <v>76000</v>
      </c>
      <c r="R20" s="34">
        <f>SUM(R15:R19)</f>
        <v>70800</v>
      </c>
      <c r="S20" s="34">
        <f>SUM(S15:S19)</f>
        <v>27600</v>
      </c>
      <c r="T20" s="34">
        <f>SUM(T15:T19)</f>
        <v>74900</v>
      </c>
      <c r="U20" s="35">
        <f>SUM(U15:U19)</f>
        <v>90000</v>
      </c>
    </row>
    <row r="27" spans="1:22" ht="17.399999999999999" x14ac:dyDescent="0.3">
      <c r="T27" s="5"/>
      <c r="U27" s="1"/>
      <c r="V27" s="1"/>
    </row>
    <row r="28" spans="1:22" ht="17.399999999999999" x14ac:dyDescent="0.3">
      <c r="T28" s="5"/>
      <c r="U28" s="1"/>
      <c r="V28" s="1"/>
    </row>
    <row r="29" spans="1:22" ht="17.399999999999999" x14ac:dyDescent="0.3">
      <c r="T29" s="5"/>
      <c r="U29" s="1"/>
      <c r="V29" s="1"/>
    </row>
    <row r="30" spans="1:22" ht="17.399999999999999" x14ac:dyDescent="0.3">
      <c r="T30" s="5"/>
      <c r="U30" s="1"/>
      <c r="V30" s="1"/>
    </row>
    <row r="31" spans="1:22" ht="17.399999999999999" x14ac:dyDescent="0.3">
      <c r="T31" s="5"/>
      <c r="U31" s="1"/>
      <c r="V31" s="1"/>
    </row>
    <row r="32" spans="1:22" ht="17.399999999999999" x14ac:dyDescent="0.3">
      <c r="T32" s="5"/>
      <c r="U32" s="1"/>
      <c r="V32" s="1"/>
    </row>
    <row r="33" spans="20:22" ht="17.399999999999999" x14ac:dyDescent="0.3">
      <c r="T33" s="5"/>
      <c r="U33" s="1"/>
      <c r="V33" s="1"/>
    </row>
    <row r="34" spans="20:22" ht="17.399999999999999" x14ac:dyDescent="0.3">
      <c r="T34" s="5"/>
      <c r="U34" s="1"/>
      <c r="V34" s="1"/>
    </row>
    <row r="35" spans="20:22" ht="17.399999999999999" x14ac:dyDescent="0.3">
      <c r="T35" s="5"/>
      <c r="U35" s="1"/>
      <c r="V35" s="1"/>
    </row>
    <row r="36" spans="20:22" ht="17.399999999999999" x14ac:dyDescent="0.3">
      <c r="T36" s="5"/>
      <c r="U36" s="1"/>
      <c r="V36" s="1"/>
    </row>
    <row r="37" spans="20:22" ht="17.399999999999999" x14ac:dyDescent="0.3">
      <c r="T37" s="6"/>
      <c r="U37" s="1"/>
      <c r="V37" s="1"/>
    </row>
    <row r="38" spans="20:22" ht="18" x14ac:dyDescent="0.35">
      <c r="T38" s="7"/>
      <c r="U38" s="2"/>
      <c r="V38" s="2"/>
    </row>
  </sheetData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0"/>
  <sheetViews>
    <sheetView workbookViewId="0"/>
  </sheetViews>
  <sheetFormatPr defaultColWidth="8.77734375" defaultRowHeight="13.2" x14ac:dyDescent="0.25"/>
  <cols>
    <col min="1" max="1" width="19.109375" customWidth="1"/>
    <col min="2" max="2" width="10.6640625" customWidth="1"/>
    <col min="3" max="3" width="11.6640625" bestFit="1" customWidth="1"/>
    <col min="4" max="4" width="11.33203125" style="79" bestFit="1" customWidth="1"/>
    <col min="5" max="10" width="11.33203125" style="79" customWidth="1"/>
    <col min="11" max="11" width="10.109375" style="79" bestFit="1" customWidth="1"/>
    <col min="12" max="21" width="10.109375" bestFit="1" customWidth="1"/>
  </cols>
  <sheetData>
    <row r="1" spans="1:21" ht="13.8" thickBot="1" x14ac:dyDescent="0.3">
      <c r="A1" s="23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1" x14ac:dyDescent="0.25">
      <c r="A2" s="20" t="s">
        <v>11</v>
      </c>
      <c r="B2" s="27">
        <f>(E2-F2)/F2</f>
        <v>0.32455268389662029</v>
      </c>
      <c r="C2" s="132">
        <f>E2-'[1]Czech Republic'!E2</f>
        <v>-724</v>
      </c>
      <c r="D2" s="82">
        <f>F2-'[1]Czech Republic'!F2</f>
        <v>-630</v>
      </c>
      <c r="E2" s="119">
        <v>5330</v>
      </c>
      <c r="F2" s="82">
        <v>4024</v>
      </c>
      <c r="G2" s="82">
        <v>3553</v>
      </c>
      <c r="H2" s="82">
        <v>1768</v>
      </c>
      <c r="I2" s="82">
        <v>2691</v>
      </c>
      <c r="J2" s="82">
        <v>917</v>
      </c>
      <c r="K2" s="82">
        <v>825</v>
      </c>
      <c r="L2" s="1"/>
      <c r="M2" s="1"/>
      <c r="N2" s="1"/>
      <c r="O2" s="1"/>
      <c r="P2" s="1"/>
      <c r="Q2" s="1"/>
      <c r="R2" s="1"/>
      <c r="S2" s="1"/>
      <c r="T2" s="1"/>
      <c r="U2" s="29"/>
    </row>
    <row r="3" spans="1:21" x14ac:dyDescent="0.25">
      <c r="A3" s="20" t="s">
        <v>9</v>
      </c>
      <c r="B3" s="27">
        <f t="shared" ref="B3:B12" si="0">(E3-F3)/F3</f>
        <v>0.15514705882352942</v>
      </c>
      <c r="C3" s="132">
        <f>E3-'[1]Czech Republic'!E3</f>
        <v>-1031</v>
      </c>
      <c r="D3" s="82">
        <f>F3-'[1]Czech Republic'!F3</f>
        <v>-885</v>
      </c>
      <c r="E3" s="119">
        <v>3142</v>
      </c>
      <c r="F3" s="82">
        <v>2720</v>
      </c>
      <c r="G3" s="82">
        <v>2866</v>
      </c>
      <c r="H3" s="82">
        <v>1862</v>
      </c>
      <c r="I3" s="82">
        <v>1370</v>
      </c>
      <c r="J3" s="82">
        <v>1858</v>
      </c>
      <c r="K3" s="82">
        <v>1752</v>
      </c>
      <c r="L3" s="1">
        <v>2186</v>
      </c>
      <c r="M3" s="1">
        <v>723</v>
      </c>
      <c r="N3" s="1">
        <v>780</v>
      </c>
      <c r="O3" s="1">
        <v>50</v>
      </c>
      <c r="P3" s="1">
        <v>150</v>
      </c>
      <c r="Q3" s="1">
        <v>55</v>
      </c>
      <c r="R3" s="1">
        <v>44</v>
      </c>
      <c r="S3" s="1">
        <v>36</v>
      </c>
      <c r="T3" s="1">
        <v>91</v>
      </c>
      <c r="U3" s="29">
        <v>58</v>
      </c>
    </row>
    <row r="4" spans="1:21" x14ac:dyDescent="0.25">
      <c r="A4" s="20" t="s">
        <v>14</v>
      </c>
      <c r="B4" s="27">
        <f t="shared" si="0"/>
        <v>7.2463768115942032E-2</v>
      </c>
      <c r="C4" s="132">
        <f>E4-'[1]Czech Republic'!E4</f>
        <v>-84</v>
      </c>
      <c r="D4" s="82">
        <f>F4-'[1]Czech Republic'!F4</f>
        <v>-90</v>
      </c>
      <c r="E4" s="119">
        <v>148</v>
      </c>
      <c r="F4" s="82">
        <v>138</v>
      </c>
      <c r="G4" s="82">
        <v>199</v>
      </c>
      <c r="H4" s="82">
        <v>139</v>
      </c>
      <c r="I4" s="82">
        <v>949</v>
      </c>
      <c r="J4" s="82">
        <v>405</v>
      </c>
      <c r="K4" s="82">
        <v>177</v>
      </c>
      <c r="L4" s="1">
        <v>631</v>
      </c>
      <c r="M4" s="1">
        <v>715</v>
      </c>
      <c r="N4" s="1">
        <v>197</v>
      </c>
      <c r="O4" s="1">
        <v>813</v>
      </c>
      <c r="P4" s="1">
        <v>304</v>
      </c>
      <c r="Q4" s="1">
        <v>639</v>
      </c>
      <c r="R4" s="1">
        <v>748</v>
      </c>
      <c r="S4" s="1">
        <v>1218</v>
      </c>
      <c r="T4" s="1">
        <v>628</v>
      </c>
      <c r="U4" s="29">
        <v>935</v>
      </c>
    </row>
    <row r="5" spans="1:21" x14ac:dyDescent="0.25">
      <c r="A5" s="20" t="s">
        <v>3</v>
      </c>
      <c r="B5" s="27">
        <f t="shared" si="0"/>
        <v>0.19930229030790231</v>
      </c>
      <c r="C5" s="132">
        <f>E5-'[1]Czech Republic'!E5</f>
        <v>-2271</v>
      </c>
      <c r="D5" s="82">
        <f>F5-'[1]Czech Republic'!F5</f>
        <v>-1283</v>
      </c>
      <c r="E5" s="119">
        <v>7907</v>
      </c>
      <c r="F5" s="82">
        <v>6593</v>
      </c>
      <c r="G5" s="82">
        <v>8930</v>
      </c>
      <c r="H5" s="82">
        <v>7757</v>
      </c>
      <c r="I5" s="82">
        <v>10649</v>
      </c>
      <c r="J5" s="82">
        <v>8504</v>
      </c>
      <c r="K5" s="82">
        <v>7980</v>
      </c>
      <c r="L5" s="1">
        <v>8674</v>
      </c>
      <c r="M5" s="1">
        <v>7848</v>
      </c>
      <c r="N5" s="1">
        <v>6656</v>
      </c>
      <c r="O5" s="1">
        <v>4029</v>
      </c>
      <c r="P5" s="1">
        <v>5447</v>
      </c>
      <c r="Q5" s="1">
        <v>3358</v>
      </c>
      <c r="R5" s="1">
        <v>5482</v>
      </c>
      <c r="S5" s="1">
        <v>4718</v>
      </c>
      <c r="T5" s="1">
        <v>3581</v>
      </c>
      <c r="U5" s="29">
        <v>2739</v>
      </c>
    </row>
    <row r="6" spans="1:21" x14ac:dyDescent="0.25">
      <c r="A6" s="20" t="s">
        <v>10</v>
      </c>
      <c r="B6" s="27">
        <f t="shared" si="0"/>
        <v>-0.32969674556213019</v>
      </c>
      <c r="C6" s="132">
        <f>E6-'[1]Czech Republic'!E6</f>
        <v>-803</v>
      </c>
      <c r="D6" s="82">
        <f>F6-'[1]Czech Republic'!F6</f>
        <v>-722</v>
      </c>
      <c r="E6" s="119">
        <v>3625</v>
      </c>
      <c r="F6" s="82">
        <v>5408</v>
      </c>
      <c r="G6" s="82">
        <v>5245</v>
      </c>
      <c r="H6" s="82">
        <v>2411</v>
      </c>
      <c r="I6" s="82">
        <v>7816</v>
      </c>
      <c r="J6" s="82">
        <v>4129</v>
      </c>
      <c r="K6" s="82">
        <v>3604</v>
      </c>
      <c r="L6" s="1">
        <v>7770</v>
      </c>
      <c r="M6" s="1">
        <v>5054</v>
      </c>
      <c r="N6" s="1">
        <v>6916</v>
      </c>
      <c r="O6" s="1">
        <v>9842</v>
      </c>
      <c r="P6" s="1">
        <v>2986</v>
      </c>
      <c r="Q6" s="1">
        <v>6758</v>
      </c>
      <c r="R6" s="1">
        <v>11938</v>
      </c>
      <c r="S6" s="1">
        <v>13121</v>
      </c>
      <c r="T6" s="1">
        <v>5490</v>
      </c>
      <c r="U6" s="29">
        <v>11264</v>
      </c>
    </row>
    <row r="7" spans="1:21" x14ac:dyDescent="0.25">
      <c r="A7" s="20" t="s">
        <v>27</v>
      </c>
      <c r="B7" s="27">
        <f t="shared" si="0"/>
        <v>-0.16741767764298093</v>
      </c>
      <c r="C7" s="132">
        <f>E7-'[1]Czech Republic'!E7</f>
        <v>-2690</v>
      </c>
      <c r="D7" s="82">
        <f>F7-'[1]Czech Republic'!F7</f>
        <v>-1957</v>
      </c>
      <c r="E7" s="119">
        <v>4804</v>
      </c>
      <c r="F7" s="82">
        <v>5770</v>
      </c>
      <c r="G7" s="82">
        <v>4124</v>
      </c>
      <c r="H7" s="82">
        <v>1843</v>
      </c>
      <c r="I7" s="82">
        <v>5764</v>
      </c>
      <c r="J7" s="82">
        <v>1712</v>
      </c>
      <c r="K7" s="82">
        <v>2318</v>
      </c>
      <c r="L7" s="1">
        <v>3185</v>
      </c>
      <c r="M7" s="1">
        <v>2708</v>
      </c>
      <c r="N7" s="1">
        <v>2908</v>
      </c>
      <c r="O7" s="1">
        <v>1406</v>
      </c>
      <c r="P7" s="1">
        <v>981</v>
      </c>
      <c r="Q7" s="1">
        <v>1470</v>
      </c>
      <c r="R7" s="1">
        <v>2678</v>
      </c>
      <c r="S7" s="1">
        <v>2353</v>
      </c>
      <c r="T7" s="1">
        <v>937</v>
      </c>
      <c r="U7" s="29">
        <v>1740</v>
      </c>
    </row>
    <row r="8" spans="1:21" x14ac:dyDescent="0.25">
      <c r="A8" s="20" t="s">
        <v>19</v>
      </c>
      <c r="B8" s="27">
        <f t="shared" si="0"/>
        <v>0.19920582395764394</v>
      </c>
      <c r="C8" s="132">
        <f>E8-'[1]Czech Republic'!E8</f>
        <v>-302</v>
      </c>
      <c r="D8" s="82">
        <f>F8-'[1]Czech Republic'!F8</f>
        <v>-365</v>
      </c>
      <c r="E8" s="119">
        <v>1812</v>
      </c>
      <c r="F8" s="82">
        <v>1511</v>
      </c>
      <c r="G8" s="82">
        <v>1227</v>
      </c>
      <c r="H8" s="82">
        <v>878</v>
      </c>
      <c r="I8" s="82">
        <v>1612</v>
      </c>
      <c r="J8" s="82">
        <v>705</v>
      </c>
      <c r="K8" s="82">
        <v>224</v>
      </c>
      <c r="L8" s="1">
        <v>659</v>
      </c>
      <c r="M8" s="1">
        <v>10</v>
      </c>
      <c r="N8" s="1">
        <v>92</v>
      </c>
      <c r="O8" s="1">
        <v>101</v>
      </c>
      <c r="P8" s="1">
        <v>38</v>
      </c>
      <c r="Q8" s="1">
        <v>36</v>
      </c>
      <c r="R8" s="1">
        <v>26</v>
      </c>
      <c r="S8" s="1">
        <v>16</v>
      </c>
      <c r="T8" s="1">
        <v>94</v>
      </c>
      <c r="U8" s="29">
        <v>86</v>
      </c>
    </row>
    <row r="9" spans="1:21" x14ac:dyDescent="0.25">
      <c r="A9" s="40" t="s">
        <v>89</v>
      </c>
      <c r="B9" s="27">
        <f t="shared" si="0"/>
        <v>-0.68991282689912825</v>
      </c>
      <c r="C9" s="132">
        <f>E9-'[1]Czech Republic'!E9</f>
        <v>-64</v>
      </c>
      <c r="D9" s="82">
        <f>F9-'[1]Czech Republic'!F9</f>
        <v>-326</v>
      </c>
      <c r="E9" s="119">
        <v>249</v>
      </c>
      <c r="F9" s="82">
        <v>803</v>
      </c>
      <c r="G9" s="82">
        <v>1196</v>
      </c>
      <c r="H9" s="82">
        <v>302</v>
      </c>
      <c r="I9" s="82">
        <v>1217</v>
      </c>
      <c r="J9" s="82">
        <v>360</v>
      </c>
      <c r="K9" s="82">
        <v>809</v>
      </c>
      <c r="L9" s="1">
        <v>1277</v>
      </c>
      <c r="M9" s="1">
        <v>1072</v>
      </c>
      <c r="N9" s="1">
        <v>198</v>
      </c>
      <c r="O9" s="1">
        <v>305</v>
      </c>
      <c r="P9" s="1">
        <v>327</v>
      </c>
      <c r="Q9" s="1">
        <v>323</v>
      </c>
      <c r="R9" s="1">
        <v>254</v>
      </c>
      <c r="S9" s="1">
        <v>412</v>
      </c>
      <c r="T9" s="1">
        <v>250</v>
      </c>
      <c r="U9" s="29">
        <v>738</v>
      </c>
    </row>
    <row r="10" spans="1:21" x14ac:dyDescent="0.25">
      <c r="A10" s="20" t="s">
        <v>35</v>
      </c>
      <c r="B10" s="27"/>
      <c r="C10" s="132">
        <f>E10-'[1]Czech Republic'!E10</f>
        <v>0</v>
      </c>
      <c r="D10" s="82">
        <f>F10-'[1]Czech Republic'!F10</f>
        <v>0</v>
      </c>
      <c r="E10" s="119">
        <v>0</v>
      </c>
      <c r="F10" s="82">
        <v>0</v>
      </c>
      <c r="G10" s="82">
        <v>176</v>
      </c>
      <c r="H10" s="82">
        <v>30</v>
      </c>
      <c r="I10" s="82">
        <v>6</v>
      </c>
      <c r="J10" s="82">
        <v>0</v>
      </c>
      <c r="K10" s="82">
        <v>0</v>
      </c>
      <c r="L10" s="1">
        <v>25</v>
      </c>
      <c r="M10" s="1">
        <v>0</v>
      </c>
      <c r="N10" s="1">
        <v>0</v>
      </c>
      <c r="O10" s="1">
        <v>64</v>
      </c>
      <c r="P10" s="1">
        <v>5</v>
      </c>
      <c r="Q10" s="1">
        <v>2</v>
      </c>
      <c r="R10" s="1">
        <v>58</v>
      </c>
      <c r="S10" s="1">
        <v>11</v>
      </c>
      <c r="T10" s="1">
        <v>60</v>
      </c>
      <c r="U10" s="29">
        <v>4</v>
      </c>
    </row>
    <row r="11" spans="1:21" ht="13.8" thickBot="1" x14ac:dyDescent="0.3">
      <c r="A11" s="22" t="s">
        <v>59</v>
      </c>
      <c r="B11" s="27">
        <f t="shared" si="0"/>
        <v>0.31463068181818182</v>
      </c>
      <c r="C11" s="133">
        <f>E11-'[1]Czech Republic'!E11</f>
        <v>-767</v>
      </c>
      <c r="D11" s="83">
        <f>F11-'[1]Czech Republic'!F11</f>
        <v>-968</v>
      </c>
      <c r="E11" s="120">
        <v>3702</v>
      </c>
      <c r="F11" s="83">
        <v>2816</v>
      </c>
      <c r="G11" s="83">
        <v>2854</v>
      </c>
      <c r="H11" s="83">
        <v>1143</v>
      </c>
      <c r="I11" s="83">
        <v>3325</v>
      </c>
      <c r="J11" s="83">
        <v>1307</v>
      </c>
      <c r="K11" s="118">
        <v>1272</v>
      </c>
      <c r="L11" s="77">
        <v>3304</v>
      </c>
      <c r="M11" s="77">
        <v>1230</v>
      </c>
      <c r="N11" s="77">
        <v>2145</v>
      </c>
      <c r="O11" s="77">
        <v>1073</v>
      </c>
      <c r="P11" s="77">
        <v>661</v>
      </c>
      <c r="Q11" s="77">
        <v>997</v>
      </c>
      <c r="R11" s="77">
        <v>1471</v>
      </c>
      <c r="S11" s="77">
        <v>1550</v>
      </c>
      <c r="T11" s="10">
        <v>1061</v>
      </c>
      <c r="U11" s="31">
        <v>1935</v>
      </c>
    </row>
    <row r="12" spans="1:21" ht="13.8" thickBot="1" x14ac:dyDescent="0.3">
      <c r="A12" s="32" t="s">
        <v>23</v>
      </c>
      <c r="B12" s="142">
        <f t="shared" si="0"/>
        <v>3.1427324312527281E-2</v>
      </c>
      <c r="C12" s="135">
        <f>E12-'[1]Czech Republic'!E12</f>
        <v>-8736</v>
      </c>
      <c r="D12" s="84">
        <f>F12-'[1]Czech Republic'!F12</f>
        <v>-7226</v>
      </c>
      <c r="E12" s="121">
        <f>SUM(E2:E11)</f>
        <v>30719</v>
      </c>
      <c r="F12" s="84">
        <f>SUM(F2:F11)</f>
        <v>29783</v>
      </c>
      <c r="G12" s="84">
        <f>SUM(G2:G11)</f>
        <v>30370</v>
      </c>
      <c r="H12" s="84">
        <v>18133</v>
      </c>
      <c r="I12" s="84">
        <f>SUM(I2:I11)</f>
        <v>35399</v>
      </c>
      <c r="J12" s="84">
        <f>SUM(J2:J11)</f>
        <v>19897</v>
      </c>
      <c r="K12" s="84">
        <f>SUM(K2:K11)</f>
        <v>18961</v>
      </c>
      <c r="L12" s="34">
        <f>SUM(L3:L11)</f>
        <v>27711</v>
      </c>
      <c r="M12" s="34">
        <f>SUM(M3:M11)</f>
        <v>19360</v>
      </c>
      <c r="N12" s="34">
        <f>SUM(N3:N11)</f>
        <v>19892</v>
      </c>
      <c r="O12" s="34">
        <f>SUM(O3:O11)</f>
        <v>17683</v>
      </c>
      <c r="P12" s="34">
        <f t="shared" ref="P12:U12" si="1">SUM(P3:P11)</f>
        <v>10899</v>
      </c>
      <c r="Q12" s="34">
        <f t="shared" si="1"/>
        <v>13638</v>
      </c>
      <c r="R12" s="34">
        <f t="shared" si="1"/>
        <v>22699</v>
      </c>
      <c r="S12" s="34">
        <f t="shared" si="1"/>
        <v>23435</v>
      </c>
      <c r="T12" s="34">
        <f t="shared" si="1"/>
        <v>12192</v>
      </c>
      <c r="U12" s="35">
        <f t="shared" si="1"/>
        <v>19499</v>
      </c>
    </row>
    <row r="13" spans="1:21" x14ac:dyDescent="0.25">
      <c r="B13" s="36"/>
      <c r="C13" s="36"/>
      <c r="D13" s="78"/>
      <c r="E13" s="78"/>
      <c r="F13" s="78"/>
      <c r="G13" s="78"/>
      <c r="H13" s="78"/>
      <c r="I13" s="78"/>
      <c r="J13" s="78"/>
      <c r="K13" s="78"/>
    </row>
    <row r="14" spans="1:21" ht="13.8" thickBot="1" x14ac:dyDescent="0.3"/>
    <row r="15" spans="1:21" ht="13.8" thickBot="1" x14ac:dyDescent="0.3">
      <c r="A15" s="53" t="s">
        <v>25</v>
      </c>
      <c r="B15" s="24" t="s">
        <v>176</v>
      </c>
      <c r="C15" s="49" t="s">
        <v>177</v>
      </c>
      <c r="D15" s="25" t="s">
        <v>173</v>
      </c>
      <c r="E15" s="115">
        <v>44986</v>
      </c>
      <c r="F15" s="25">
        <v>44621</v>
      </c>
      <c r="G15" s="25">
        <v>44256</v>
      </c>
      <c r="H15" s="25">
        <v>43891</v>
      </c>
      <c r="I15" s="25">
        <v>43525</v>
      </c>
      <c r="J15" s="25">
        <v>43160</v>
      </c>
      <c r="K15" s="25">
        <v>42795</v>
      </c>
      <c r="L15" s="25">
        <v>42430</v>
      </c>
      <c r="M15" s="25">
        <v>42064</v>
      </c>
      <c r="N15" s="25">
        <v>41699</v>
      </c>
      <c r="O15" s="25">
        <v>41334</v>
      </c>
      <c r="P15" s="25">
        <v>40969</v>
      </c>
      <c r="Q15" s="25">
        <v>40603</v>
      </c>
      <c r="R15" s="25">
        <v>40238</v>
      </c>
      <c r="S15" s="25">
        <v>39873</v>
      </c>
      <c r="T15" s="25">
        <v>39508</v>
      </c>
      <c r="U15" s="26">
        <v>39142</v>
      </c>
    </row>
    <row r="16" spans="1:21" x14ac:dyDescent="0.25">
      <c r="A16" s="54" t="s">
        <v>7</v>
      </c>
      <c r="B16" s="55">
        <f t="shared" ref="B16:B21" si="2">(E16-F16)/F16</f>
        <v>1.7339449541284404</v>
      </c>
      <c r="C16" s="132">
        <f>E16-'[1]Czech Republic'!E16</f>
        <v>-314</v>
      </c>
      <c r="D16" s="57">
        <f>F16-'[1]Czech Republic'!F16</f>
        <v>-162</v>
      </c>
      <c r="E16" s="56">
        <v>596</v>
      </c>
      <c r="F16" s="57">
        <v>218</v>
      </c>
      <c r="G16" s="57">
        <v>1034</v>
      </c>
      <c r="H16" s="57">
        <v>1210</v>
      </c>
      <c r="I16" s="57">
        <v>1286</v>
      </c>
      <c r="J16" s="57">
        <v>920</v>
      </c>
      <c r="K16" s="57">
        <v>685</v>
      </c>
      <c r="L16" s="57">
        <v>795</v>
      </c>
      <c r="M16" s="57">
        <v>60</v>
      </c>
      <c r="N16" s="57">
        <v>1254</v>
      </c>
      <c r="O16" s="57">
        <v>0</v>
      </c>
      <c r="P16" s="57">
        <v>153</v>
      </c>
      <c r="Q16" s="57">
        <v>0</v>
      </c>
      <c r="R16" s="57">
        <v>0</v>
      </c>
      <c r="S16" s="57">
        <v>0</v>
      </c>
      <c r="T16" s="57">
        <v>0</v>
      </c>
      <c r="U16" s="67">
        <v>0</v>
      </c>
    </row>
    <row r="17" spans="1:22" x14ac:dyDescent="0.25">
      <c r="A17" s="54" t="s">
        <v>42</v>
      </c>
      <c r="B17" s="107"/>
      <c r="C17" s="132">
        <f>E17-'[1]Czech Republic'!E17</f>
        <v>-1</v>
      </c>
      <c r="D17" s="57">
        <f>F17-'[1]Czech Republic'!F17</f>
        <v>0</v>
      </c>
      <c r="E17" s="56">
        <v>0</v>
      </c>
      <c r="F17" s="57">
        <v>0</v>
      </c>
      <c r="G17" s="57">
        <v>0</v>
      </c>
      <c r="H17" s="57">
        <v>0</v>
      </c>
      <c r="I17" s="57">
        <v>1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4</v>
      </c>
      <c r="Q17" s="57">
        <v>0</v>
      </c>
      <c r="R17" s="57">
        <v>0</v>
      </c>
      <c r="S17" s="57">
        <v>0</v>
      </c>
      <c r="T17" s="57">
        <v>0</v>
      </c>
      <c r="U17" s="67">
        <v>0</v>
      </c>
    </row>
    <row r="18" spans="1:22" x14ac:dyDescent="0.25">
      <c r="A18" s="54" t="s">
        <v>155</v>
      </c>
      <c r="B18" s="107">
        <f t="shared" si="2"/>
        <v>-0.875</v>
      </c>
      <c r="C18" s="132">
        <f>E18-'[1]Czech Republic'!E18</f>
        <v>-56</v>
      </c>
      <c r="D18" s="57">
        <f>F18-'[1]Czech Republic'!F18</f>
        <v>-244</v>
      </c>
      <c r="E18" s="56">
        <v>16</v>
      </c>
      <c r="F18" s="57">
        <v>128</v>
      </c>
      <c r="G18" s="57">
        <v>159</v>
      </c>
      <c r="H18" s="57">
        <v>75</v>
      </c>
      <c r="I18" s="57">
        <v>37</v>
      </c>
      <c r="J18" s="57">
        <v>26</v>
      </c>
      <c r="K18" s="57">
        <v>26</v>
      </c>
      <c r="L18" s="57">
        <v>86</v>
      </c>
      <c r="M18" s="57">
        <v>0</v>
      </c>
      <c r="N18" s="57"/>
      <c r="O18" s="57"/>
      <c r="P18" s="57"/>
      <c r="Q18" s="57"/>
      <c r="R18" s="57"/>
      <c r="S18" s="57"/>
      <c r="T18" s="57"/>
      <c r="U18" s="67"/>
    </row>
    <row r="19" spans="1:22" x14ac:dyDescent="0.25">
      <c r="A19" s="54" t="s">
        <v>156</v>
      </c>
      <c r="B19" s="107">
        <f t="shared" si="2"/>
        <v>-1</v>
      </c>
      <c r="C19" s="132">
        <f>E19-'[1]Czech Republic'!E19</f>
        <v>-26</v>
      </c>
      <c r="D19" s="57">
        <f>F19-'[1]Czech Republic'!F19</f>
        <v>-65</v>
      </c>
      <c r="E19" s="56">
        <v>0</v>
      </c>
      <c r="F19" s="57">
        <v>6</v>
      </c>
      <c r="G19" s="57">
        <v>299</v>
      </c>
      <c r="H19" s="57">
        <v>0</v>
      </c>
      <c r="I19" s="57">
        <v>70</v>
      </c>
      <c r="J19" s="57">
        <v>0</v>
      </c>
      <c r="K19" s="57">
        <v>0</v>
      </c>
      <c r="L19" s="57">
        <v>12</v>
      </c>
      <c r="M19" s="57">
        <v>0</v>
      </c>
      <c r="N19" s="57"/>
      <c r="O19" s="57"/>
      <c r="P19" s="57"/>
      <c r="Q19" s="57"/>
      <c r="R19" s="57"/>
      <c r="S19" s="57"/>
      <c r="T19" s="57"/>
      <c r="U19" s="67"/>
    </row>
    <row r="20" spans="1:22" ht="13.8" thickBot="1" x14ac:dyDescent="0.3">
      <c r="A20" s="58" t="s">
        <v>6</v>
      </c>
      <c r="B20" s="107">
        <f t="shared" si="2"/>
        <v>1.5</v>
      </c>
      <c r="C20" s="133">
        <f>E20-'[1]Czech Republic'!E20</f>
        <v>-47</v>
      </c>
      <c r="D20" s="57">
        <f>F20-'[1]Czech Republic'!F20</f>
        <v>-8</v>
      </c>
      <c r="E20" s="56">
        <v>20</v>
      </c>
      <c r="F20" s="57">
        <v>8</v>
      </c>
      <c r="G20" s="57">
        <v>42</v>
      </c>
      <c r="H20" s="57">
        <v>6</v>
      </c>
      <c r="I20" s="57">
        <v>8</v>
      </c>
      <c r="J20" s="57">
        <v>2</v>
      </c>
      <c r="K20" s="57">
        <v>0</v>
      </c>
      <c r="L20" s="60">
        <v>26</v>
      </c>
      <c r="M20" s="60">
        <v>48</v>
      </c>
      <c r="N20" s="60">
        <v>80</v>
      </c>
      <c r="O20" s="60">
        <v>4</v>
      </c>
      <c r="P20" s="60">
        <v>28</v>
      </c>
      <c r="Q20" s="60">
        <v>42</v>
      </c>
      <c r="R20" s="60">
        <v>20</v>
      </c>
      <c r="S20" s="60">
        <v>0</v>
      </c>
      <c r="T20" s="60">
        <v>0</v>
      </c>
      <c r="U20" s="68">
        <v>0</v>
      </c>
      <c r="V20" s="1"/>
    </row>
    <row r="21" spans="1:22" ht="13.8" thickBot="1" x14ac:dyDescent="0.3">
      <c r="A21" s="61" t="s">
        <v>92</v>
      </c>
      <c r="B21" s="62">
        <f t="shared" si="2"/>
        <v>0.75555555555555554</v>
      </c>
      <c r="C21" s="135">
        <f>E21-'[1]Czech Republic'!E21</f>
        <v>-444</v>
      </c>
      <c r="D21" s="80">
        <f>F21-'[1]Czech Republic'!F21</f>
        <v>-479</v>
      </c>
      <c r="E21" s="63">
        <f>SUM(E16:E20)</f>
        <v>632</v>
      </c>
      <c r="F21" s="80">
        <f>SUM(F16:F20)</f>
        <v>360</v>
      </c>
      <c r="G21" s="80">
        <f>SUM(G16:G20)</f>
        <v>1534</v>
      </c>
      <c r="H21" s="80">
        <v>1291</v>
      </c>
      <c r="I21" s="80">
        <f>SUM(I16:I20)</f>
        <v>1402</v>
      </c>
      <c r="J21" s="80">
        <f t="shared" ref="J21:O21" si="3">SUM(J16:J20)</f>
        <v>948</v>
      </c>
      <c r="K21" s="80">
        <f t="shared" si="3"/>
        <v>711</v>
      </c>
      <c r="L21" s="80">
        <f t="shared" si="3"/>
        <v>919</v>
      </c>
      <c r="M21" s="80">
        <f t="shared" si="3"/>
        <v>108</v>
      </c>
      <c r="N21" s="80">
        <f t="shared" si="3"/>
        <v>1334</v>
      </c>
      <c r="O21" s="80">
        <f t="shared" si="3"/>
        <v>4</v>
      </c>
      <c r="P21" s="80">
        <f t="shared" ref="P21:U21" si="4">SUM(P16:P20)</f>
        <v>185</v>
      </c>
      <c r="Q21" s="80">
        <f t="shared" si="4"/>
        <v>42</v>
      </c>
      <c r="R21" s="80">
        <f t="shared" si="4"/>
        <v>20</v>
      </c>
      <c r="S21" s="80">
        <f t="shared" si="4"/>
        <v>0</v>
      </c>
      <c r="T21" s="80">
        <f t="shared" si="4"/>
        <v>0</v>
      </c>
      <c r="U21" s="81">
        <f t="shared" si="4"/>
        <v>0</v>
      </c>
      <c r="V21" s="1"/>
    </row>
    <row r="22" spans="1:22" ht="17.399999999999999" x14ac:dyDescent="0.3">
      <c r="T22" s="5"/>
      <c r="U22" s="1"/>
      <c r="V22" s="1"/>
    </row>
    <row r="23" spans="1:22" ht="17.399999999999999" x14ac:dyDescent="0.3">
      <c r="T23" s="5"/>
      <c r="U23" s="1"/>
      <c r="V23" s="1"/>
    </row>
    <row r="24" spans="1:22" ht="17.399999999999999" x14ac:dyDescent="0.3">
      <c r="T24" s="5"/>
      <c r="U24" s="1"/>
      <c r="V24" s="1"/>
    </row>
    <row r="25" spans="1:22" ht="17.399999999999999" x14ac:dyDescent="0.3">
      <c r="T25" s="5"/>
      <c r="U25" s="1"/>
      <c r="V25" s="1"/>
    </row>
    <row r="26" spans="1:22" ht="17.399999999999999" x14ac:dyDescent="0.3">
      <c r="T26" s="5"/>
      <c r="U26" s="1"/>
      <c r="V26" s="1"/>
    </row>
    <row r="27" spans="1:22" ht="17.399999999999999" x14ac:dyDescent="0.3">
      <c r="T27" s="5"/>
      <c r="U27" s="1"/>
      <c r="V27" s="1"/>
    </row>
    <row r="28" spans="1:22" ht="17.399999999999999" x14ac:dyDescent="0.3">
      <c r="T28" s="5"/>
      <c r="U28" s="1"/>
      <c r="V28" s="1"/>
    </row>
    <row r="29" spans="1:22" ht="17.399999999999999" x14ac:dyDescent="0.3">
      <c r="T29" s="6"/>
      <c r="U29" s="1"/>
      <c r="V29" s="1"/>
    </row>
    <row r="30" spans="1:22" ht="18" x14ac:dyDescent="0.35">
      <c r="T30" s="7"/>
      <c r="U30" s="2"/>
      <c r="V30" s="2"/>
    </row>
  </sheetData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0"/>
  <sheetViews>
    <sheetView workbookViewId="0"/>
  </sheetViews>
  <sheetFormatPr defaultColWidth="8.77734375" defaultRowHeight="13.2" x14ac:dyDescent="0.25"/>
  <cols>
    <col min="1" max="1" width="18.77734375" customWidth="1"/>
    <col min="2" max="2" width="10.6640625" customWidth="1"/>
    <col min="3" max="3" width="11.6640625" bestFit="1" customWidth="1"/>
    <col min="4" max="4" width="11.33203125" bestFit="1" customWidth="1"/>
    <col min="5" max="10" width="11.33203125" customWidth="1"/>
    <col min="11" max="11" width="10.6640625" customWidth="1"/>
    <col min="12" max="21" width="10.109375" bestFit="1" customWidth="1"/>
  </cols>
  <sheetData>
    <row r="1" spans="1:22" ht="13.8" thickBot="1" x14ac:dyDescent="0.3">
      <c r="A1" s="39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5">
        <v>40238</v>
      </c>
      <c r="S1" s="25">
        <v>39873</v>
      </c>
      <c r="T1" s="25">
        <v>39508</v>
      </c>
      <c r="U1" s="26">
        <v>39142</v>
      </c>
    </row>
    <row r="2" spans="1:22" x14ac:dyDescent="0.25">
      <c r="A2" s="40" t="s">
        <v>4</v>
      </c>
      <c r="B2" s="101">
        <f>(E2-F2)/F2</f>
        <v>-1</v>
      </c>
      <c r="C2" s="129">
        <f>E2-[1]Denmark!E2</f>
        <v>0</v>
      </c>
      <c r="D2" s="38">
        <f>F2-[1]Denmark!F2</f>
        <v>-5</v>
      </c>
      <c r="E2" s="43"/>
      <c r="F2" s="38">
        <v>15</v>
      </c>
      <c r="G2" s="38"/>
      <c r="H2" s="38"/>
      <c r="I2" s="38">
        <v>0</v>
      </c>
      <c r="J2" s="38"/>
      <c r="K2" s="38"/>
      <c r="L2" s="38"/>
      <c r="M2" s="38">
        <v>0</v>
      </c>
      <c r="N2" s="38"/>
      <c r="O2" s="38">
        <v>4</v>
      </c>
      <c r="P2" s="38"/>
      <c r="Q2" s="38">
        <v>10</v>
      </c>
      <c r="R2" s="38">
        <v>0</v>
      </c>
      <c r="S2" s="38">
        <v>0</v>
      </c>
      <c r="T2" s="38"/>
      <c r="U2" s="65"/>
    </row>
    <row r="3" spans="1:22" x14ac:dyDescent="0.25">
      <c r="A3" s="40" t="s">
        <v>97</v>
      </c>
      <c r="B3" s="101">
        <f>(E3-F3)/F3</f>
        <v>-1</v>
      </c>
      <c r="C3" s="129">
        <f>E3-[1]Denmark!E3</f>
        <v>-93</v>
      </c>
      <c r="D3" s="38">
        <f>F3-[1]Denmark!F3</f>
        <v>-50</v>
      </c>
      <c r="E3" s="43"/>
      <c r="F3" s="38">
        <v>144</v>
      </c>
      <c r="G3" s="38"/>
      <c r="H3" s="38">
        <v>270</v>
      </c>
      <c r="I3" s="38">
        <v>229</v>
      </c>
      <c r="J3" s="38">
        <v>0</v>
      </c>
      <c r="K3" s="38">
        <v>273</v>
      </c>
      <c r="L3" s="38">
        <v>394</v>
      </c>
      <c r="M3" s="38">
        <v>242</v>
      </c>
      <c r="N3" s="38">
        <v>456</v>
      </c>
      <c r="O3" s="38">
        <v>301</v>
      </c>
      <c r="P3" s="38">
        <v>370</v>
      </c>
      <c r="Q3" s="38">
        <v>199</v>
      </c>
      <c r="R3" s="38">
        <v>85</v>
      </c>
      <c r="S3" s="38">
        <v>42</v>
      </c>
      <c r="T3" s="38"/>
      <c r="U3" s="65"/>
    </row>
    <row r="4" spans="1:22" x14ac:dyDescent="0.25">
      <c r="A4" s="40" t="s">
        <v>5</v>
      </c>
      <c r="B4" s="101"/>
      <c r="C4" s="129">
        <f>E4-[1]Denmark!E4</f>
        <v>0</v>
      </c>
      <c r="D4" s="38">
        <f>F4-[1]Denmark!F4</f>
        <v>0</v>
      </c>
      <c r="E4" s="43"/>
      <c r="F4" s="38"/>
      <c r="G4" s="38"/>
      <c r="H4" s="38"/>
      <c r="I4" s="38">
        <v>0</v>
      </c>
      <c r="J4" s="38">
        <v>0</v>
      </c>
      <c r="K4" s="38">
        <v>0</v>
      </c>
      <c r="L4" s="38"/>
      <c r="M4" s="38">
        <v>0</v>
      </c>
      <c r="N4" s="38"/>
      <c r="O4" s="38"/>
      <c r="P4" s="38">
        <v>0</v>
      </c>
      <c r="Q4" s="38"/>
      <c r="R4" s="38">
        <v>0</v>
      </c>
      <c r="S4" s="38">
        <v>1</v>
      </c>
      <c r="T4" s="38"/>
      <c r="U4" s="65"/>
    </row>
    <row r="5" spans="1:22" x14ac:dyDescent="0.25">
      <c r="A5" s="40" t="s">
        <v>2</v>
      </c>
      <c r="B5" s="101">
        <f>(E5-F5)/F5</f>
        <v>-0.39959225280326199</v>
      </c>
      <c r="C5" s="129">
        <f>E5-[1]Denmark!E5</f>
        <v>-925</v>
      </c>
      <c r="D5" s="38">
        <f>F5-[1]Denmark!F5</f>
        <v>-654</v>
      </c>
      <c r="E5" s="43">
        <v>1178</v>
      </c>
      <c r="F5" s="38">
        <v>1962</v>
      </c>
      <c r="G5" s="38">
        <v>1118</v>
      </c>
      <c r="H5" s="38">
        <v>714</v>
      </c>
      <c r="I5" s="38">
        <v>2030</v>
      </c>
      <c r="J5" s="38">
        <v>813</v>
      </c>
      <c r="K5" s="38">
        <v>1574</v>
      </c>
      <c r="L5" s="38">
        <v>1864</v>
      </c>
      <c r="M5" s="38">
        <v>1237</v>
      </c>
      <c r="N5" s="38">
        <v>683</v>
      </c>
      <c r="O5" s="38">
        <v>447</v>
      </c>
      <c r="P5" s="38">
        <v>359</v>
      </c>
      <c r="Q5" s="38">
        <v>290</v>
      </c>
      <c r="R5" s="38">
        <v>940</v>
      </c>
      <c r="S5" s="38">
        <v>900</v>
      </c>
      <c r="T5" s="38">
        <v>324</v>
      </c>
      <c r="U5" s="65">
        <v>340</v>
      </c>
    </row>
    <row r="6" spans="1:22" x14ac:dyDescent="0.25">
      <c r="A6" s="40" t="s">
        <v>12</v>
      </c>
      <c r="B6" s="101"/>
      <c r="C6" s="129">
        <f>E6-[1]Denmark!E6</f>
        <v>0</v>
      </c>
      <c r="D6" s="38">
        <f>F6-[1]Denmark!F6</f>
        <v>0</v>
      </c>
      <c r="E6" s="43"/>
      <c r="F6" s="38"/>
      <c r="G6" s="38"/>
      <c r="H6" s="38"/>
      <c r="I6" s="38">
        <v>8</v>
      </c>
      <c r="J6" s="38">
        <v>0</v>
      </c>
      <c r="K6" s="38">
        <v>17</v>
      </c>
      <c r="L6" s="38"/>
      <c r="M6" s="38">
        <v>0</v>
      </c>
      <c r="N6" s="38">
        <v>29</v>
      </c>
      <c r="O6" s="38"/>
      <c r="P6" s="38"/>
      <c r="Q6" s="38"/>
      <c r="R6" s="38">
        <v>0</v>
      </c>
      <c r="S6" s="38">
        <v>0</v>
      </c>
      <c r="T6" s="38"/>
      <c r="U6" s="65"/>
    </row>
    <row r="7" spans="1:22" x14ac:dyDescent="0.25">
      <c r="A7" s="40" t="s">
        <v>9</v>
      </c>
      <c r="B7" s="101">
        <f>(E7-F7)/F7</f>
        <v>-0.7142857142857143</v>
      </c>
      <c r="C7" s="129">
        <f>E7-[1]Denmark!E7</f>
        <v>-67</v>
      </c>
      <c r="D7" s="38">
        <f>F7-[1]Denmark!F7</f>
        <v>56</v>
      </c>
      <c r="E7" s="43">
        <v>16</v>
      </c>
      <c r="F7" s="38">
        <v>56</v>
      </c>
      <c r="G7" s="38">
        <v>8</v>
      </c>
      <c r="H7" s="38">
        <v>25</v>
      </c>
      <c r="I7" s="38">
        <v>269</v>
      </c>
      <c r="J7" s="38">
        <v>0</v>
      </c>
      <c r="K7" s="38">
        <v>279</v>
      </c>
      <c r="L7" s="38">
        <v>167</v>
      </c>
      <c r="M7" s="38">
        <v>0</v>
      </c>
      <c r="N7" s="38">
        <v>0</v>
      </c>
      <c r="O7" s="38"/>
      <c r="P7" s="38">
        <v>13</v>
      </c>
      <c r="Q7" s="38">
        <v>7</v>
      </c>
      <c r="R7" s="38">
        <v>0</v>
      </c>
      <c r="S7" s="38">
        <v>0</v>
      </c>
      <c r="T7" s="38"/>
      <c r="U7" s="65"/>
    </row>
    <row r="8" spans="1:22" x14ac:dyDescent="0.25">
      <c r="A8" s="40" t="s">
        <v>14</v>
      </c>
      <c r="B8" s="101"/>
      <c r="C8" s="129">
        <f>E8-[1]Denmark!E8</f>
        <v>0</v>
      </c>
      <c r="D8" s="38">
        <f>F8-[1]Denmark!F8</f>
        <v>-143</v>
      </c>
      <c r="E8" s="43"/>
      <c r="F8" s="38"/>
      <c r="G8" s="38"/>
      <c r="H8" s="38"/>
      <c r="I8" s="38"/>
      <c r="J8" s="38"/>
      <c r="K8" s="38"/>
      <c r="L8" s="38"/>
      <c r="M8" s="38">
        <v>0</v>
      </c>
      <c r="N8" s="38"/>
      <c r="O8" s="38"/>
      <c r="P8" s="38">
        <v>4</v>
      </c>
      <c r="Q8" s="38">
        <v>17</v>
      </c>
      <c r="R8" s="38">
        <v>58</v>
      </c>
      <c r="S8" s="38">
        <v>110</v>
      </c>
      <c r="T8" s="38">
        <v>0</v>
      </c>
      <c r="U8" s="65">
        <v>35</v>
      </c>
    </row>
    <row r="9" spans="1:22" x14ac:dyDescent="0.25">
      <c r="A9" s="40" t="s">
        <v>17</v>
      </c>
      <c r="B9" s="101"/>
      <c r="C9" s="129">
        <f>E9-[1]Denmark!E9</f>
        <v>0</v>
      </c>
      <c r="D9" s="38">
        <f>F9-[1]Denmark!F9</f>
        <v>0</v>
      </c>
      <c r="E9" s="43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65"/>
    </row>
    <row r="10" spans="1:22" x14ac:dyDescent="0.25">
      <c r="A10" s="40" t="s">
        <v>15</v>
      </c>
      <c r="B10" s="101"/>
      <c r="C10" s="129">
        <f>E10-[1]Denmark!E10</f>
        <v>-45</v>
      </c>
      <c r="D10" s="38">
        <f>F10-[1]Denmark!F10</f>
        <v>0</v>
      </c>
      <c r="E10" s="43">
        <v>10</v>
      </c>
      <c r="F10" s="38"/>
      <c r="G10" s="38"/>
      <c r="H10" s="38"/>
      <c r="I10" s="38">
        <v>100</v>
      </c>
      <c r="J10" s="38"/>
      <c r="K10" s="38"/>
      <c r="L10" s="38">
        <v>10</v>
      </c>
      <c r="M10" s="38">
        <v>0</v>
      </c>
      <c r="N10" s="38">
        <v>46</v>
      </c>
      <c r="O10" s="38"/>
      <c r="P10" s="38"/>
      <c r="Q10" s="38"/>
      <c r="R10" s="38">
        <v>0</v>
      </c>
      <c r="S10" s="38">
        <v>5</v>
      </c>
      <c r="T10" s="38"/>
      <c r="U10" s="65"/>
    </row>
    <row r="11" spans="1:22" x14ac:dyDescent="0.25">
      <c r="A11" s="40" t="s">
        <v>10</v>
      </c>
      <c r="B11" s="101"/>
      <c r="C11" s="129">
        <f>E11-[1]Denmark!E11</f>
        <v>0</v>
      </c>
      <c r="D11" s="38">
        <f>F11-[1]Denmark!F11</f>
        <v>-14</v>
      </c>
      <c r="E11" s="43"/>
      <c r="F11" s="38"/>
      <c r="G11" s="38"/>
      <c r="H11" s="38">
        <v>7</v>
      </c>
      <c r="I11" s="38">
        <v>14</v>
      </c>
      <c r="J11" s="38"/>
      <c r="K11" s="38"/>
      <c r="L11" s="38"/>
      <c r="M11" s="38">
        <v>0</v>
      </c>
      <c r="N11" s="38">
        <v>21</v>
      </c>
      <c r="O11" s="38"/>
      <c r="P11" s="38">
        <v>11</v>
      </c>
      <c r="Q11" s="38">
        <v>16</v>
      </c>
      <c r="R11" s="38">
        <v>21</v>
      </c>
      <c r="S11" s="38">
        <v>25</v>
      </c>
      <c r="T11" s="38"/>
      <c r="U11" s="65"/>
      <c r="V11" s="1"/>
    </row>
    <row r="12" spans="1:22" x14ac:dyDescent="0.25">
      <c r="A12" s="40" t="s">
        <v>99</v>
      </c>
      <c r="B12" s="101"/>
      <c r="C12" s="129">
        <f>E12-[1]Denmark!E12</f>
        <v>-87</v>
      </c>
      <c r="D12" s="38">
        <f>F12-[1]Denmark!F12</f>
        <v>-414</v>
      </c>
      <c r="E12" s="43"/>
      <c r="F12" s="38"/>
      <c r="G12" s="38"/>
      <c r="H12" s="38"/>
      <c r="I12" s="38">
        <v>49</v>
      </c>
      <c r="J12" s="38">
        <v>0</v>
      </c>
      <c r="K12" s="38">
        <v>213</v>
      </c>
      <c r="L12" s="38">
        <v>73</v>
      </c>
      <c r="M12" s="38">
        <v>0</v>
      </c>
      <c r="N12" s="38">
        <v>0</v>
      </c>
      <c r="O12" s="38"/>
      <c r="P12" s="38"/>
      <c r="Q12" s="38"/>
      <c r="R12" s="38"/>
      <c r="S12" s="38"/>
      <c r="T12" s="38"/>
      <c r="U12" s="65"/>
      <c r="V12" s="1"/>
    </row>
    <row r="13" spans="1:22" x14ac:dyDescent="0.25">
      <c r="A13" s="40" t="s">
        <v>27</v>
      </c>
      <c r="B13" s="101">
        <f>(E13-F13)/F13</f>
        <v>-0.61904761904761907</v>
      </c>
      <c r="C13" s="129">
        <f>E13-[1]Denmark!E13</f>
        <v>0</v>
      </c>
      <c r="D13" s="38">
        <f>F13-[1]Denmark!F13</f>
        <v>0</v>
      </c>
      <c r="E13" s="43">
        <v>8</v>
      </c>
      <c r="F13" s="38">
        <v>21</v>
      </c>
      <c r="G13" s="38">
        <v>5</v>
      </c>
      <c r="H13" s="38"/>
      <c r="I13" s="38">
        <v>51</v>
      </c>
      <c r="J13" s="38">
        <v>0</v>
      </c>
      <c r="K13" s="38">
        <v>26</v>
      </c>
      <c r="L13" s="38">
        <v>22</v>
      </c>
      <c r="M13" s="38">
        <v>45</v>
      </c>
      <c r="N13" s="38"/>
      <c r="O13" s="38">
        <v>35</v>
      </c>
      <c r="P13" s="38"/>
      <c r="Q13" s="38"/>
      <c r="R13" s="38">
        <v>0</v>
      </c>
      <c r="S13" s="38">
        <v>6</v>
      </c>
      <c r="T13" s="38">
        <v>1393</v>
      </c>
      <c r="U13" s="65">
        <v>790</v>
      </c>
      <c r="V13" s="1"/>
    </row>
    <row r="14" spans="1:22" x14ac:dyDescent="0.25">
      <c r="A14" s="40" t="s">
        <v>26</v>
      </c>
      <c r="B14" s="101">
        <f>(E14-F14)/F14</f>
        <v>-0.44680851063829785</v>
      </c>
      <c r="C14" s="129">
        <f>E14-[1]Denmark!E14</f>
        <v>-23</v>
      </c>
      <c r="D14" s="38">
        <f>F14-[1]Denmark!F14</f>
        <v>-81</v>
      </c>
      <c r="E14" s="43">
        <v>598</v>
      </c>
      <c r="F14" s="38">
        <v>1081</v>
      </c>
      <c r="G14" s="38">
        <v>1090</v>
      </c>
      <c r="H14" s="38">
        <v>630</v>
      </c>
      <c r="I14" s="38">
        <v>2206</v>
      </c>
      <c r="J14" s="38">
        <v>866</v>
      </c>
      <c r="K14" s="38">
        <v>2040</v>
      </c>
      <c r="L14" s="38">
        <v>1862</v>
      </c>
      <c r="M14" s="38">
        <v>1531</v>
      </c>
      <c r="N14" s="38">
        <v>1209</v>
      </c>
      <c r="O14" s="38">
        <v>731</v>
      </c>
      <c r="P14" s="38">
        <v>1215</v>
      </c>
      <c r="Q14" s="38">
        <v>998</v>
      </c>
      <c r="R14" s="38">
        <v>1335</v>
      </c>
      <c r="S14" s="38">
        <v>2175</v>
      </c>
      <c r="T14" s="38"/>
      <c r="U14" s="65"/>
    </row>
    <row r="15" spans="1:22" x14ac:dyDescent="0.25">
      <c r="A15" s="40" t="s">
        <v>98</v>
      </c>
      <c r="B15" s="101"/>
      <c r="C15" s="129">
        <f>E15-[1]Denmark!E15</f>
        <v>0</v>
      </c>
      <c r="D15" s="38">
        <f>F15-[1]Denmark!F15</f>
        <v>0</v>
      </c>
      <c r="E15" s="43"/>
      <c r="F15" s="38"/>
      <c r="G15" s="38"/>
      <c r="H15" s="38"/>
      <c r="I15" s="38"/>
      <c r="J15" s="38"/>
      <c r="K15" s="38"/>
      <c r="L15" s="38"/>
      <c r="M15" s="38">
        <v>0</v>
      </c>
      <c r="N15" s="38"/>
      <c r="O15" s="38"/>
      <c r="P15" s="38"/>
      <c r="Q15" s="38"/>
      <c r="R15" s="38">
        <v>0</v>
      </c>
      <c r="S15" s="38">
        <v>0</v>
      </c>
      <c r="T15" s="38"/>
      <c r="U15" s="65"/>
    </row>
    <row r="16" spans="1:22" x14ac:dyDescent="0.25">
      <c r="A16" s="40" t="s">
        <v>13</v>
      </c>
      <c r="B16" s="101"/>
      <c r="C16" s="129">
        <f>E16-[1]Denmark!E16</f>
        <v>0</v>
      </c>
      <c r="D16" s="38">
        <f>F16-[1]Denmark!F16</f>
        <v>0</v>
      </c>
      <c r="E16" s="43"/>
      <c r="F16" s="38"/>
      <c r="G16" s="38"/>
      <c r="H16" s="38"/>
      <c r="I16" s="38"/>
      <c r="J16" s="38"/>
      <c r="K16" s="38"/>
      <c r="L16" s="38"/>
      <c r="M16" s="38">
        <v>0</v>
      </c>
      <c r="N16" s="38"/>
      <c r="O16" s="38"/>
      <c r="P16" s="38"/>
      <c r="Q16" s="38"/>
      <c r="R16" s="38">
        <v>31</v>
      </c>
      <c r="S16" s="38">
        <v>33</v>
      </c>
      <c r="T16" s="38"/>
      <c r="U16" s="65"/>
    </row>
    <row r="17" spans="1:21" x14ac:dyDescent="0.25">
      <c r="A17" s="40" t="s">
        <v>35</v>
      </c>
      <c r="B17" s="101"/>
      <c r="C17" s="129">
        <f>E17-[1]Denmark!E17</f>
        <v>0</v>
      </c>
      <c r="D17" s="38">
        <f>F17-[1]Denmark!F17</f>
        <v>0</v>
      </c>
      <c r="E17" s="43"/>
      <c r="F17" s="38"/>
      <c r="G17" s="38"/>
      <c r="H17" s="38"/>
      <c r="I17" s="38">
        <v>8</v>
      </c>
      <c r="J17" s="38">
        <v>0</v>
      </c>
      <c r="K17" s="38">
        <v>11</v>
      </c>
      <c r="L17" s="38"/>
      <c r="M17" s="38">
        <v>0</v>
      </c>
      <c r="N17" s="38">
        <v>0</v>
      </c>
      <c r="O17" s="38"/>
      <c r="P17" s="38"/>
      <c r="Q17" s="38"/>
      <c r="R17" s="38"/>
      <c r="S17" s="38"/>
      <c r="T17" s="38"/>
      <c r="U17" s="65"/>
    </row>
    <row r="18" spans="1:21" x14ac:dyDescent="0.25">
      <c r="A18" s="40" t="s">
        <v>87</v>
      </c>
      <c r="B18" s="101">
        <f>(E18-F18)/F18</f>
        <v>2.5245441795231416E-2</v>
      </c>
      <c r="C18" s="129">
        <f>E18-[1]Denmark!E18</f>
        <v>-93</v>
      </c>
      <c r="D18" s="38">
        <f>F18-[1]Denmark!F18</f>
        <v>-222</v>
      </c>
      <c r="E18" s="43">
        <v>2193</v>
      </c>
      <c r="F18" s="38">
        <v>2139</v>
      </c>
      <c r="G18" s="38">
        <v>763</v>
      </c>
      <c r="H18" s="38">
        <v>909</v>
      </c>
      <c r="I18" s="38">
        <v>1948</v>
      </c>
      <c r="J18" s="38">
        <v>685</v>
      </c>
      <c r="K18" s="38">
        <v>1022</v>
      </c>
      <c r="L18" s="38">
        <v>1019</v>
      </c>
      <c r="M18" s="38">
        <v>786</v>
      </c>
      <c r="N18" s="38">
        <v>687</v>
      </c>
      <c r="O18" s="38">
        <v>659</v>
      </c>
      <c r="P18" s="38">
        <v>641</v>
      </c>
      <c r="Q18" s="38">
        <v>337</v>
      </c>
      <c r="R18" s="38">
        <v>290</v>
      </c>
      <c r="S18" s="38">
        <v>110</v>
      </c>
      <c r="T18" s="38"/>
      <c r="U18" s="65"/>
    </row>
    <row r="19" spans="1:21" ht="13.8" thickBot="1" x14ac:dyDescent="0.3">
      <c r="A19" s="41" t="s">
        <v>6</v>
      </c>
      <c r="B19" s="101">
        <f>(E19-F19)/F19</f>
        <v>4.7474747474747474</v>
      </c>
      <c r="C19" s="130">
        <f>E19-[1]Denmark!E19</f>
        <v>-454</v>
      </c>
      <c r="D19" s="38">
        <f>F19-[1]Denmark!F19</f>
        <v>-32</v>
      </c>
      <c r="E19" s="43">
        <f>95+474</f>
        <v>569</v>
      </c>
      <c r="F19" s="38">
        <v>99</v>
      </c>
      <c r="G19" s="38"/>
      <c r="H19" s="38">
        <v>66</v>
      </c>
      <c r="I19" s="38">
        <v>88</v>
      </c>
      <c r="J19" s="38">
        <v>0</v>
      </c>
      <c r="K19" s="37">
        <v>103</v>
      </c>
      <c r="L19" s="37">
        <v>45</v>
      </c>
      <c r="M19" s="37">
        <v>76</v>
      </c>
      <c r="N19" s="37">
        <v>96</v>
      </c>
      <c r="O19" s="37">
        <v>99</v>
      </c>
      <c r="P19" s="37">
        <v>24</v>
      </c>
      <c r="Q19" s="37">
        <v>62</v>
      </c>
      <c r="R19" s="37">
        <v>452</v>
      </c>
      <c r="S19" s="37">
        <v>106</v>
      </c>
      <c r="T19" s="37">
        <v>110</v>
      </c>
      <c r="U19" s="66">
        <v>115</v>
      </c>
    </row>
    <row r="20" spans="1:21" ht="13.8" thickBot="1" x14ac:dyDescent="0.3">
      <c r="A20" s="42" t="s">
        <v>92</v>
      </c>
      <c r="B20" s="143">
        <f>(E20-F20)/F20</f>
        <v>-0.17128874388254486</v>
      </c>
      <c r="C20" s="70">
        <f>E20-[1]Denmark!E20</f>
        <v>-1787</v>
      </c>
      <c r="D20" s="46">
        <f>F20-[1]Denmark!F20</f>
        <v>-1559</v>
      </c>
      <c r="E20" s="45">
        <f>SUM(E2:E19)</f>
        <v>4572</v>
      </c>
      <c r="F20" s="46">
        <f>SUM(F2:F19)</f>
        <v>5517</v>
      </c>
      <c r="G20" s="46">
        <f>SUM(G2:G19)</f>
        <v>2984</v>
      </c>
      <c r="H20" s="46">
        <f>SUM(H2:H19)</f>
        <v>2621</v>
      </c>
      <c r="I20" s="46">
        <f>SUM(I2:I19)</f>
        <v>7000</v>
      </c>
      <c r="J20" s="46">
        <v>2364</v>
      </c>
      <c r="K20" s="46">
        <f>SUM(K2:K19)</f>
        <v>5558</v>
      </c>
      <c r="L20" s="46">
        <f>SUM(L2:L19)</f>
        <v>5456</v>
      </c>
      <c r="M20" s="46">
        <f>SUM(M2:M19)</f>
        <v>3917</v>
      </c>
      <c r="N20" s="46">
        <f>SUM(N2:N19)</f>
        <v>3227</v>
      </c>
      <c r="O20" s="46">
        <f>SUM(O2:O19)</f>
        <v>2276</v>
      </c>
      <c r="P20" s="46">
        <f t="shared" ref="P20:U20" si="0">SUM(P2:P19)</f>
        <v>2637</v>
      </c>
      <c r="Q20" s="46">
        <f t="shared" si="0"/>
        <v>1936</v>
      </c>
      <c r="R20" s="46">
        <f t="shared" si="0"/>
        <v>3212</v>
      </c>
      <c r="S20" s="46">
        <f t="shared" si="0"/>
        <v>3513</v>
      </c>
      <c r="T20" s="46">
        <f t="shared" si="0"/>
        <v>1827</v>
      </c>
      <c r="U20" s="35">
        <f t="shared" si="0"/>
        <v>1280</v>
      </c>
    </row>
    <row r="22" spans="1:21" ht="13.8" thickBot="1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s="52" customFormat="1" ht="13.8" thickBot="1" x14ac:dyDescent="0.3">
      <c r="A23" s="53" t="s">
        <v>122</v>
      </c>
      <c r="B23" s="24" t="s">
        <v>176</v>
      </c>
      <c r="C23" s="49" t="s">
        <v>177</v>
      </c>
      <c r="D23" s="25" t="s">
        <v>173</v>
      </c>
      <c r="E23" s="115">
        <v>44986</v>
      </c>
      <c r="F23" s="25">
        <v>44621</v>
      </c>
      <c r="G23" s="25">
        <v>44256</v>
      </c>
      <c r="H23" s="25">
        <v>43891</v>
      </c>
      <c r="I23" s="25">
        <v>43525</v>
      </c>
      <c r="J23" s="25">
        <v>43160</v>
      </c>
      <c r="K23" s="25">
        <v>42795</v>
      </c>
      <c r="L23" s="25">
        <v>42430</v>
      </c>
      <c r="M23" s="25">
        <f>M1</f>
        <v>42064</v>
      </c>
      <c r="N23" s="25">
        <v>41699</v>
      </c>
      <c r="O23" s="25">
        <v>41334</v>
      </c>
      <c r="P23" s="25">
        <v>40969</v>
      </c>
      <c r="Q23" s="25">
        <v>40603</v>
      </c>
      <c r="R23" s="25">
        <v>40238</v>
      </c>
      <c r="S23" s="25">
        <v>39873</v>
      </c>
      <c r="T23" s="25">
        <v>39508</v>
      </c>
      <c r="U23" s="26">
        <v>39142</v>
      </c>
    </row>
    <row r="24" spans="1:21" s="52" customFormat="1" x14ac:dyDescent="0.25">
      <c r="A24" s="54" t="s">
        <v>7</v>
      </c>
      <c r="B24" s="55"/>
      <c r="C24" s="129">
        <f>E24-[1]Denmark!E24</f>
        <v>0</v>
      </c>
      <c r="D24" s="57">
        <f>F24-[1]Denmark!F24</f>
        <v>0</v>
      </c>
      <c r="E24" s="56"/>
      <c r="F24" s="57"/>
      <c r="G24" s="57">
        <v>4</v>
      </c>
      <c r="H24" s="57">
        <v>4</v>
      </c>
      <c r="I24" s="57">
        <v>167</v>
      </c>
      <c r="J24" s="57">
        <v>0</v>
      </c>
      <c r="K24" s="57"/>
      <c r="L24" s="57">
        <v>25</v>
      </c>
      <c r="M24" s="57">
        <v>0</v>
      </c>
      <c r="N24" s="57">
        <v>52</v>
      </c>
      <c r="O24" s="57">
        <v>0</v>
      </c>
      <c r="P24" s="57">
        <v>33</v>
      </c>
      <c r="Q24" s="57">
        <v>0</v>
      </c>
      <c r="R24" s="57">
        <v>0</v>
      </c>
      <c r="S24" s="57">
        <f>SUM(V24:W24)</f>
        <v>0</v>
      </c>
      <c r="T24" s="57">
        <f>B39</f>
        <v>0</v>
      </c>
      <c r="U24" s="67">
        <f>B61</f>
        <v>0</v>
      </c>
    </row>
    <row r="25" spans="1:21" s="52" customFormat="1" x14ac:dyDescent="0.25">
      <c r="A25" s="54" t="s">
        <v>154</v>
      </c>
      <c r="B25" s="55"/>
      <c r="C25" s="129">
        <f>E25-[1]Denmark!E25</f>
        <v>0</v>
      </c>
      <c r="D25" s="57">
        <f>F25-[1]Denmark!F25</f>
        <v>0</v>
      </c>
      <c r="E25" s="56"/>
      <c r="F25" s="57"/>
      <c r="G25" s="57"/>
      <c r="H25" s="57"/>
      <c r="I25" s="57"/>
      <c r="J25" s="57"/>
      <c r="K25" s="57"/>
      <c r="L25" s="57"/>
      <c r="M25" s="57">
        <v>0</v>
      </c>
      <c r="N25" s="57"/>
      <c r="O25" s="57"/>
      <c r="P25" s="57"/>
      <c r="Q25" s="57"/>
      <c r="R25" s="57"/>
      <c r="S25" s="57"/>
      <c r="T25" s="57"/>
      <c r="U25" s="67"/>
    </row>
    <row r="26" spans="1:21" s="52" customFormat="1" ht="13.8" thickBot="1" x14ac:dyDescent="0.3">
      <c r="A26" s="58" t="s">
        <v>6</v>
      </c>
      <c r="B26" s="55"/>
      <c r="C26" s="130">
        <f>E26-[1]Denmark!E26</f>
        <v>-93</v>
      </c>
      <c r="D26" s="57">
        <f>F26-[1]Denmark!F26</f>
        <v>0</v>
      </c>
      <c r="E26" s="56"/>
      <c r="F26" s="57"/>
      <c r="G26" s="57">
        <v>15</v>
      </c>
      <c r="H26" s="57">
        <v>26</v>
      </c>
      <c r="I26" s="57">
        <v>93</v>
      </c>
      <c r="J26" s="57">
        <v>0</v>
      </c>
      <c r="K26" s="60">
        <v>22</v>
      </c>
      <c r="L26" s="60">
        <v>47</v>
      </c>
      <c r="M26" s="60">
        <v>5</v>
      </c>
      <c r="N26" s="60">
        <v>26</v>
      </c>
      <c r="O26" s="60">
        <v>0</v>
      </c>
      <c r="P26" s="60">
        <v>0</v>
      </c>
      <c r="Q26" s="60">
        <v>0</v>
      </c>
      <c r="R26" s="60">
        <v>0</v>
      </c>
      <c r="S26" s="60">
        <f>SUM(V26:W26)</f>
        <v>0</v>
      </c>
      <c r="T26" s="60">
        <v>0</v>
      </c>
      <c r="U26" s="68">
        <f>B70</f>
        <v>0</v>
      </c>
    </row>
    <row r="27" spans="1:21" s="52" customFormat="1" ht="13.8" thickBot="1" x14ac:dyDescent="0.3">
      <c r="A27" s="61" t="s">
        <v>92</v>
      </c>
      <c r="B27" s="85"/>
      <c r="C27" s="70">
        <f>E27-[1]Denmark!E27</f>
        <v>-93</v>
      </c>
      <c r="D27" s="80">
        <f>F27-[1]Denmark!F27</f>
        <v>0</v>
      </c>
      <c r="E27" s="63"/>
      <c r="F27" s="80">
        <v>0</v>
      </c>
      <c r="G27" s="80">
        <f>SUM(G24:G26)</f>
        <v>19</v>
      </c>
      <c r="H27" s="80">
        <f>SUM(H24:H26)</f>
        <v>30</v>
      </c>
      <c r="I27" s="80">
        <f>SUM(I24:I26)</f>
        <v>260</v>
      </c>
      <c r="J27" s="80">
        <v>0</v>
      </c>
      <c r="K27" s="80">
        <f t="shared" ref="K27:P27" si="1">SUM(K24:K26)</f>
        <v>22</v>
      </c>
      <c r="L27" s="80">
        <f t="shared" si="1"/>
        <v>72</v>
      </c>
      <c r="M27" s="80">
        <f t="shared" si="1"/>
        <v>5</v>
      </c>
      <c r="N27" s="80">
        <f t="shared" si="1"/>
        <v>78</v>
      </c>
      <c r="O27" s="80">
        <f t="shared" si="1"/>
        <v>0</v>
      </c>
      <c r="P27" s="80">
        <f t="shared" si="1"/>
        <v>33</v>
      </c>
      <c r="Q27" s="80">
        <v>0</v>
      </c>
      <c r="R27" s="80">
        <v>0</v>
      </c>
      <c r="S27" s="80">
        <f>SUM(S24:S26)</f>
        <v>0</v>
      </c>
      <c r="T27" s="64">
        <f>SUM(T24:T26)</f>
        <v>0</v>
      </c>
      <c r="U27" s="69">
        <f>SUM(U24:U26)</f>
        <v>0</v>
      </c>
    </row>
    <row r="28" spans="1:21" s="52" customFormat="1" x14ac:dyDescent="0.25"/>
    <row r="29" spans="1:21" s="52" customFormat="1" x14ac:dyDescent="0.25"/>
    <row r="30" spans="1:21" s="52" customFormat="1" x14ac:dyDescent="0.25"/>
  </sheetData>
  <pageMargins left="0.75" right="0.75" top="1" bottom="1" header="0.5" footer="0.5"/>
  <pageSetup paperSize="9" scale="66" fitToHeight="3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38"/>
  <sheetViews>
    <sheetView workbookViewId="0"/>
  </sheetViews>
  <sheetFormatPr defaultColWidth="8.77734375" defaultRowHeight="13.2" x14ac:dyDescent="0.25"/>
  <cols>
    <col min="1" max="1" width="24.6640625" customWidth="1"/>
    <col min="2" max="2" width="10.6640625" customWidth="1"/>
    <col min="3" max="3" width="11.6640625" bestFit="1" customWidth="1"/>
    <col min="4" max="4" width="11.33203125" bestFit="1" customWidth="1"/>
    <col min="5" max="10" width="11.33203125" customWidth="1"/>
    <col min="11" max="18" width="10.6640625" customWidth="1"/>
  </cols>
  <sheetData>
    <row r="1" spans="1:19" ht="13.8" thickBot="1" x14ac:dyDescent="0.3">
      <c r="A1" s="39" t="s">
        <v>24</v>
      </c>
      <c r="B1" s="24" t="s">
        <v>176</v>
      </c>
      <c r="C1" s="49" t="s">
        <v>177</v>
      </c>
      <c r="D1" s="25" t="s">
        <v>173</v>
      </c>
      <c r="E1" s="115">
        <v>44986</v>
      </c>
      <c r="F1" s="25">
        <v>44621</v>
      </c>
      <c r="G1" s="25">
        <v>44256</v>
      </c>
      <c r="H1" s="25">
        <v>43891</v>
      </c>
      <c r="I1" s="25">
        <v>43525</v>
      </c>
      <c r="J1" s="25">
        <v>43160</v>
      </c>
      <c r="K1" s="25">
        <v>42795</v>
      </c>
      <c r="L1" s="25">
        <v>42430</v>
      </c>
      <c r="M1" s="25">
        <v>42064</v>
      </c>
      <c r="N1" s="25">
        <v>41699</v>
      </c>
      <c r="O1" s="25">
        <v>41334</v>
      </c>
      <c r="P1" s="25">
        <v>40969</v>
      </c>
      <c r="Q1" s="25">
        <v>40603</v>
      </c>
      <c r="R1" s="26">
        <v>40238</v>
      </c>
    </row>
    <row r="2" spans="1:19" x14ac:dyDescent="0.25">
      <c r="A2" s="40" t="s">
        <v>121</v>
      </c>
      <c r="B2" s="47">
        <f>(E2-F2)/F2</f>
        <v>0.73709090909090913</v>
      </c>
      <c r="C2" s="129">
        <f>E2-[1]France!E2</f>
        <v>-1036</v>
      </c>
      <c r="D2" s="139">
        <f>F2-[1]France!F2</f>
        <v>-313</v>
      </c>
      <c r="E2" s="43">
        <v>4777</v>
      </c>
      <c r="F2" s="38">
        <v>2750</v>
      </c>
      <c r="G2" s="38">
        <v>4772</v>
      </c>
      <c r="H2" s="38">
        <v>4461</v>
      </c>
      <c r="I2" s="38">
        <v>3790</v>
      </c>
      <c r="J2" s="38">
        <v>3540</v>
      </c>
      <c r="K2" s="94">
        <v>7242</v>
      </c>
      <c r="L2" s="94">
        <v>5857</v>
      </c>
      <c r="M2" s="94">
        <v>9462</v>
      </c>
      <c r="N2" s="94">
        <v>13473</v>
      </c>
      <c r="O2" s="94">
        <v>6067</v>
      </c>
      <c r="P2" s="94">
        <v>10841</v>
      </c>
      <c r="Q2" s="94">
        <v>9155</v>
      </c>
      <c r="R2" s="91">
        <v>8266</v>
      </c>
    </row>
    <row r="3" spans="1:19" x14ac:dyDescent="0.25">
      <c r="A3" s="40" t="s">
        <v>126</v>
      </c>
      <c r="B3" s="47">
        <f>(E3-F3)/F3</f>
        <v>-0.38629208040687818</v>
      </c>
      <c r="C3" s="129">
        <f>E3-[1]France!E3</f>
        <v>-4727</v>
      </c>
      <c r="D3" s="139">
        <f>F3-[1]France!F3</f>
        <v>-2473</v>
      </c>
      <c r="E3" s="43">
        <v>12670</v>
      </c>
      <c r="F3" s="38">
        <v>20645</v>
      </c>
      <c r="G3" s="38">
        <v>14466</v>
      </c>
      <c r="H3" s="38">
        <v>17714</v>
      </c>
      <c r="I3" s="38">
        <v>14700</v>
      </c>
      <c r="J3" s="38">
        <v>11735</v>
      </c>
      <c r="K3" s="94">
        <v>14830</v>
      </c>
      <c r="L3" s="94">
        <v>15209</v>
      </c>
      <c r="M3" s="94">
        <v>12017</v>
      </c>
      <c r="N3" s="94">
        <v>20193</v>
      </c>
      <c r="O3" s="94">
        <v>10189</v>
      </c>
      <c r="P3" s="94">
        <v>14182</v>
      </c>
      <c r="Q3" s="94">
        <v>13062</v>
      </c>
      <c r="R3" s="91">
        <v>13509</v>
      </c>
    </row>
    <row r="4" spans="1:19" x14ac:dyDescent="0.25">
      <c r="A4" s="40" t="s">
        <v>4</v>
      </c>
      <c r="B4" s="47">
        <f>(E4-F4)/F4</f>
        <v>0.61275088547815826</v>
      </c>
      <c r="C4" s="129">
        <f>E4-[1]France!E4</f>
        <v>-731</v>
      </c>
      <c r="D4" s="139">
        <f>F4-[1]France!F4</f>
        <v>-1462</v>
      </c>
      <c r="E4" s="43">
        <v>1366</v>
      </c>
      <c r="F4" s="38">
        <v>847</v>
      </c>
      <c r="G4" s="38">
        <v>250</v>
      </c>
      <c r="H4" s="38">
        <v>761</v>
      </c>
      <c r="I4" s="38">
        <v>1309</v>
      </c>
      <c r="J4" s="38">
        <v>171</v>
      </c>
      <c r="K4" s="38">
        <v>1141</v>
      </c>
      <c r="L4" s="38">
        <v>1478</v>
      </c>
      <c r="M4" s="38">
        <v>443</v>
      </c>
      <c r="N4" s="38">
        <v>691</v>
      </c>
      <c r="O4" s="38">
        <v>31</v>
      </c>
      <c r="P4" s="38">
        <v>2408</v>
      </c>
      <c r="Q4" s="38">
        <v>1726</v>
      </c>
      <c r="R4" s="65">
        <v>3185</v>
      </c>
    </row>
    <row r="5" spans="1:19" x14ac:dyDescent="0.25">
      <c r="A5" s="40" t="s">
        <v>11</v>
      </c>
      <c r="B5" s="47">
        <f>(E5-F5)/F5</f>
        <v>-0.46107958678888405</v>
      </c>
      <c r="C5" s="129">
        <f>E5-[1]France!E5</f>
        <v>-3070</v>
      </c>
      <c r="D5" s="139">
        <f>F5-[1]France!F5</f>
        <v>-2251</v>
      </c>
      <c r="E5" s="43">
        <v>7408</v>
      </c>
      <c r="F5" s="38">
        <v>13746</v>
      </c>
      <c r="G5" s="38">
        <v>12829</v>
      </c>
      <c r="H5" s="38">
        <v>19722</v>
      </c>
      <c r="I5" s="38">
        <v>16141</v>
      </c>
      <c r="J5" s="38">
        <v>13363</v>
      </c>
      <c r="K5" s="38">
        <v>16972</v>
      </c>
      <c r="L5" s="38">
        <v>17643</v>
      </c>
      <c r="M5" s="38">
        <v>14887</v>
      </c>
      <c r="N5" s="38">
        <v>25119</v>
      </c>
      <c r="O5" s="38">
        <v>8751</v>
      </c>
      <c r="P5" s="38">
        <v>28355</v>
      </c>
      <c r="Q5" s="38">
        <v>23051</v>
      </c>
      <c r="R5" s="65">
        <v>35392</v>
      </c>
    </row>
    <row r="6" spans="1:19" x14ac:dyDescent="0.25">
      <c r="A6" s="40" t="s">
        <v>29</v>
      </c>
      <c r="B6" s="47"/>
      <c r="C6" s="129">
        <f>E6-[1]France!E6</f>
        <v>0</v>
      </c>
      <c r="D6" s="139">
        <f>F6-[1]France!F6</f>
        <v>0</v>
      </c>
      <c r="E6" s="43"/>
      <c r="F6" s="38"/>
      <c r="G6" s="38"/>
      <c r="H6" s="38">
        <v>0</v>
      </c>
      <c r="I6" s="38"/>
      <c r="J6" s="38"/>
      <c r="K6" s="38"/>
      <c r="L6" s="38"/>
      <c r="M6" s="38"/>
      <c r="N6" s="38"/>
      <c r="O6" s="38"/>
      <c r="P6" s="38">
        <v>492</v>
      </c>
      <c r="Q6" s="38">
        <v>1221</v>
      </c>
      <c r="R6" s="65">
        <v>2018</v>
      </c>
    </row>
    <row r="7" spans="1:19" x14ac:dyDescent="0.25">
      <c r="A7" s="40" t="s">
        <v>149</v>
      </c>
      <c r="B7" s="47">
        <f t="shared" ref="B7:B15" si="0">(E7-F7)/F7</f>
        <v>0.28419010669253153</v>
      </c>
      <c r="C7" s="129">
        <f>E7-[1]France!E7</f>
        <v>309</v>
      </c>
      <c r="D7" s="139">
        <f>F7-[1]France!F7</f>
        <v>-316</v>
      </c>
      <c r="E7" s="43">
        <v>2648</v>
      </c>
      <c r="F7" s="38">
        <v>2062</v>
      </c>
      <c r="G7" s="38">
        <v>3261</v>
      </c>
      <c r="H7" s="38">
        <v>3571</v>
      </c>
      <c r="I7" s="38">
        <v>4106</v>
      </c>
      <c r="J7" s="38">
        <v>3293</v>
      </c>
      <c r="K7" s="38">
        <v>3509</v>
      </c>
      <c r="L7" s="38">
        <v>3929</v>
      </c>
      <c r="M7" s="38">
        <v>2000</v>
      </c>
      <c r="N7" s="38">
        <v>1607</v>
      </c>
      <c r="O7" s="38">
        <v>1039</v>
      </c>
      <c r="P7" s="38">
        <v>1684</v>
      </c>
      <c r="Q7" s="38">
        <v>1861</v>
      </c>
      <c r="R7" s="65">
        <v>60</v>
      </c>
    </row>
    <row r="8" spans="1:19" x14ac:dyDescent="0.25">
      <c r="A8" s="40" t="s">
        <v>61</v>
      </c>
      <c r="B8" s="47">
        <f t="shared" si="0"/>
        <v>0.22890483092673797</v>
      </c>
      <c r="C8" s="129">
        <f>E8-[1]France!E8</f>
        <v>-24669</v>
      </c>
      <c r="D8" s="139">
        <f>F8-[1]France!F8</f>
        <v>-14080</v>
      </c>
      <c r="E8" s="43">
        <v>66979</v>
      </c>
      <c r="F8" s="38">
        <v>54503</v>
      </c>
      <c r="G8" s="38">
        <v>63246</v>
      </c>
      <c r="H8" s="38">
        <v>59492</v>
      </c>
      <c r="I8" s="38">
        <v>49602</v>
      </c>
      <c r="J8" s="38">
        <v>46253</v>
      </c>
      <c r="K8" s="38">
        <v>54507</v>
      </c>
      <c r="L8" s="38">
        <v>51178</v>
      </c>
      <c r="M8" s="38">
        <v>45654</v>
      </c>
      <c r="N8" s="38">
        <v>43590</v>
      </c>
      <c r="O8" s="38">
        <v>24402</v>
      </c>
      <c r="P8" s="38">
        <v>32543</v>
      </c>
      <c r="Q8" s="38">
        <v>33100</v>
      </c>
      <c r="R8" s="65">
        <v>29577</v>
      </c>
    </row>
    <row r="9" spans="1:19" x14ac:dyDescent="0.25">
      <c r="A9" s="40" t="s">
        <v>2</v>
      </c>
      <c r="B9" s="47">
        <f t="shared" si="0"/>
        <v>-0.26923076923076922</v>
      </c>
      <c r="C9" s="129">
        <f>E9-[1]France!E9</f>
        <v>-295</v>
      </c>
      <c r="D9" s="139">
        <f>F9-[1]France!F9</f>
        <v>-1270</v>
      </c>
      <c r="E9" s="43">
        <v>456</v>
      </c>
      <c r="F9" s="38">
        <v>624</v>
      </c>
      <c r="G9" s="38">
        <v>399</v>
      </c>
      <c r="H9" s="38">
        <v>761</v>
      </c>
      <c r="I9" s="38">
        <v>831</v>
      </c>
      <c r="J9" s="38">
        <v>438</v>
      </c>
      <c r="K9" s="38">
        <v>720</v>
      </c>
      <c r="L9" s="38">
        <v>280</v>
      </c>
      <c r="M9" s="38">
        <v>276</v>
      </c>
      <c r="N9" s="38">
        <v>446</v>
      </c>
      <c r="O9" s="38">
        <v>438</v>
      </c>
      <c r="P9" s="38">
        <v>486</v>
      </c>
      <c r="Q9" s="38">
        <v>514</v>
      </c>
      <c r="R9" s="65">
        <v>586</v>
      </c>
    </row>
    <row r="10" spans="1:19" x14ac:dyDescent="0.25">
      <c r="A10" s="40" t="s">
        <v>12</v>
      </c>
      <c r="B10" s="47">
        <f t="shared" si="0"/>
        <v>-0.62693054656432068</v>
      </c>
      <c r="C10" s="129">
        <f>E10-[1]France!E10</f>
        <v>-4321</v>
      </c>
      <c r="D10" s="139">
        <f>F10-[1]France!F10</f>
        <v>-3332</v>
      </c>
      <c r="E10" s="43">
        <v>8068</v>
      </c>
      <c r="F10" s="38">
        <v>21626</v>
      </c>
      <c r="G10" s="38">
        <v>14393</v>
      </c>
      <c r="H10" s="38">
        <v>20806</v>
      </c>
      <c r="I10" s="38">
        <v>10952</v>
      </c>
      <c r="J10" s="38">
        <v>15882</v>
      </c>
      <c r="K10" s="38">
        <v>11679</v>
      </c>
      <c r="L10" s="38">
        <v>13454</v>
      </c>
      <c r="M10" s="38">
        <v>9296</v>
      </c>
      <c r="N10" s="38">
        <v>18330</v>
      </c>
      <c r="O10" s="38">
        <v>9696</v>
      </c>
      <c r="P10" s="38">
        <v>13636</v>
      </c>
      <c r="Q10" s="38">
        <v>15507</v>
      </c>
      <c r="R10" s="65">
        <v>11788</v>
      </c>
    </row>
    <row r="11" spans="1:19" x14ac:dyDescent="0.25">
      <c r="A11" s="40" t="s">
        <v>9</v>
      </c>
      <c r="B11" s="47">
        <f t="shared" si="0"/>
        <v>-0.26165585654330409</v>
      </c>
      <c r="C11" s="129">
        <f>E11-[1]France!E11</f>
        <v>-13137</v>
      </c>
      <c r="D11" s="139">
        <f>F11-[1]France!F11</f>
        <v>-12034</v>
      </c>
      <c r="E11" s="43">
        <v>38704</v>
      </c>
      <c r="F11" s="38">
        <v>52420</v>
      </c>
      <c r="G11" s="38">
        <v>60400</v>
      </c>
      <c r="H11" s="38">
        <v>52808</v>
      </c>
      <c r="I11" s="38">
        <v>54408</v>
      </c>
      <c r="J11" s="38">
        <v>36939</v>
      </c>
      <c r="K11" s="38">
        <v>31583</v>
      </c>
      <c r="L11" s="38">
        <v>18449</v>
      </c>
      <c r="M11" s="38">
        <v>21002</v>
      </c>
      <c r="N11" s="38">
        <v>24458</v>
      </c>
      <c r="O11" s="38">
        <v>13784</v>
      </c>
      <c r="P11" s="38">
        <v>18206</v>
      </c>
      <c r="Q11" s="38">
        <v>22778</v>
      </c>
      <c r="R11" s="65">
        <v>19529</v>
      </c>
    </row>
    <row r="12" spans="1:19" x14ac:dyDescent="0.25">
      <c r="A12" s="40" t="s">
        <v>3</v>
      </c>
      <c r="B12" s="47">
        <f t="shared" si="0"/>
        <v>-0.10065476356794918</v>
      </c>
      <c r="C12" s="129">
        <f>E12-[1]France!E12</f>
        <v>-13214</v>
      </c>
      <c r="D12" s="139">
        <f>F12-[1]France!F12</f>
        <v>-21828</v>
      </c>
      <c r="E12" s="43">
        <v>96560</v>
      </c>
      <c r="F12" s="38">
        <v>107367</v>
      </c>
      <c r="G12" s="38">
        <v>96210</v>
      </c>
      <c r="H12" s="38">
        <v>148032</v>
      </c>
      <c r="I12" s="38">
        <v>135684</v>
      </c>
      <c r="J12" s="38">
        <v>131688</v>
      </c>
      <c r="K12" s="38">
        <v>156933</v>
      </c>
      <c r="L12" s="38">
        <v>148979</v>
      </c>
      <c r="M12" s="38">
        <v>146294</v>
      </c>
      <c r="N12" s="38">
        <v>181861</v>
      </c>
      <c r="O12" s="38">
        <v>81551</v>
      </c>
      <c r="P12" s="38">
        <v>150988</v>
      </c>
      <c r="Q12" s="38">
        <v>163318</v>
      </c>
      <c r="R12" s="65">
        <v>175045</v>
      </c>
    </row>
    <row r="13" spans="1:19" x14ac:dyDescent="0.25">
      <c r="A13" s="40" t="s">
        <v>137</v>
      </c>
      <c r="B13" s="47">
        <f t="shared" si="0"/>
        <v>-0.27906050955414013</v>
      </c>
      <c r="C13" s="129">
        <f>E13-[1]France!E13</f>
        <v>-458</v>
      </c>
      <c r="D13" s="139">
        <f>F13-[1]France!F13</f>
        <v>-454</v>
      </c>
      <c r="E13" s="43">
        <v>1811</v>
      </c>
      <c r="F13" s="38">
        <v>2512</v>
      </c>
      <c r="G13" s="38">
        <v>2053</v>
      </c>
      <c r="H13" s="38">
        <v>2492</v>
      </c>
      <c r="I13" s="38">
        <v>1795</v>
      </c>
      <c r="J13" s="38">
        <v>1272</v>
      </c>
      <c r="K13" s="38">
        <v>1341</v>
      </c>
      <c r="L13" s="38">
        <v>1619</v>
      </c>
      <c r="M13" s="38">
        <v>1562</v>
      </c>
      <c r="N13" s="38">
        <v>2048</v>
      </c>
      <c r="O13" s="38">
        <v>1467</v>
      </c>
      <c r="P13" s="38">
        <v>1790</v>
      </c>
      <c r="Q13" s="38">
        <v>1567</v>
      </c>
      <c r="R13" s="65">
        <v>1521</v>
      </c>
    </row>
    <row r="14" spans="1:19" x14ac:dyDescent="0.25">
      <c r="A14" s="40" t="s">
        <v>17</v>
      </c>
      <c r="B14" s="47">
        <f t="shared" si="0"/>
        <v>-0.10602817462292798</v>
      </c>
      <c r="C14" s="129">
        <f>E14-[1]France!E14</f>
        <v>-10039</v>
      </c>
      <c r="D14" s="139">
        <f>F14-[1]France!F14</f>
        <v>-6208</v>
      </c>
      <c r="E14" s="43">
        <v>35918</v>
      </c>
      <c r="F14" s="38">
        <v>40178</v>
      </c>
      <c r="G14" s="38">
        <v>45900</v>
      </c>
      <c r="H14" s="38">
        <v>43091</v>
      </c>
      <c r="I14" s="38">
        <v>39985</v>
      </c>
      <c r="J14" s="38">
        <v>43109</v>
      </c>
      <c r="K14" s="38">
        <v>34818</v>
      </c>
      <c r="L14" s="38">
        <v>48837</v>
      </c>
      <c r="M14" s="38">
        <v>38820</v>
      </c>
      <c r="N14" s="38">
        <v>50373</v>
      </c>
      <c r="O14" s="38">
        <v>28061</v>
      </c>
      <c r="P14" s="38">
        <v>40976</v>
      </c>
      <c r="Q14" s="38">
        <v>34115</v>
      </c>
      <c r="R14" s="65">
        <v>34454</v>
      </c>
    </row>
    <row r="15" spans="1:19" x14ac:dyDescent="0.25">
      <c r="A15" s="40" t="s">
        <v>129</v>
      </c>
      <c r="B15" s="47">
        <f t="shared" si="0"/>
        <v>-0.29050522648083621</v>
      </c>
      <c r="C15" s="129">
        <f>E15-[1]France!E15</f>
        <v>-1012</v>
      </c>
      <c r="D15" s="139">
        <f>F15-[1]France!F15</f>
        <v>-1568</v>
      </c>
      <c r="E15" s="43">
        <v>4887</v>
      </c>
      <c r="F15" s="38">
        <v>6888</v>
      </c>
      <c r="G15" s="38">
        <v>375</v>
      </c>
      <c r="H15" s="38">
        <v>4359</v>
      </c>
      <c r="I15" s="38">
        <v>1405</v>
      </c>
      <c r="J15" s="38">
        <v>1614</v>
      </c>
      <c r="K15" s="38">
        <v>2880</v>
      </c>
      <c r="L15" s="38">
        <v>1516</v>
      </c>
      <c r="M15" s="38">
        <v>5075</v>
      </c>
      <c r="N15" s="38">
        <v>3704</v>
      </c>
      <c r="O15" s="38">
        <v>2313</v>
      </c>
      <c r="P15" s="38">
        <v>469</v>
      </c>
      <c r="Q15" s="38">
        <v>1614</v>
      </c>
      <c r="R15" s="65">
        <v>388</v>
      </c>
    </row>
    <row r="16" spans="1:19" x14ac:dyDescent="0.25">
      <c r="A16" s="40" t="s">
        <v>10</v>
      </c>
      <c r="B16" s="47"/>
      <c r="C16" s="129">
        <f>E16-[1]France!E16</f>
        <v>0</v>
      </c>
      <c r="D16" s="139">
        <f>F16-[1]France!F16</f>
        <v>0</v>
      </c>
      <c r="E16" s="43"/>
      <c r="F16" s="38"/>
      <c r="G16" s="38">
        <v>938</v>
      </c>
      <c r="H16" s="38">
        <v>1158</v>
      </c>
      <c r="I16" s="38">
        <v>1144</v>
      </c>
      <c r="J16" s="38">
        <v>909</v>
      </c>
      <c r="K16" s="38">
        <v>986</v>
      </c>
      <c r="L16" s="38">
        <v>857</v>
      </c>
      <c r="M16" s="38">
        <v>681</v>
      </c>
      <c r="N16" s="38">
        <v>1620</v>
      </c>
      <c r="O16" s="38">
        <v>809</v>
      </c>
      <c r="P16" s="38">
        <v>1696</v>
      </c>
      <c r="Q16" s="38">
        <v>1466</v>
      </c>
      <c r="R16" s="65">
        <v>1974</v>
      </c>
      <c r="S16" s="1"/>
    </row>
    <row r="17" spans="1:19" x14ac:dyDescent="0.25">
      <c r="A17" s="40" t="s">
        <v>128</v>
      </c>
      <c r="B17" s="47">
        <f>(E17-F17)/F17</f>
        <v>-0.30304325525730896</v>
      </c>
      <c r="C17" s="129">
        <f>E17-[1]France!E17</f>
        <v>-4349</v>
      </c>
      <c r="D17" s="139">
        <f>F17-[1]France!F17</f>
        <v>-2819</v>
      </c>
      <c r="E17" s="43">
        <v>16306</v>
      </c>
      <c r="F17" s="38">
        <v>23396</v>
      </c>
      <c r="G17" s="38">
        <v>10982</v>
      </c>
      <c r="H17" s="38">
        <v>14506</v>
      </c>
      <c r="I17" s="38">
        <v>9758</v>
      </c>
      <c r="J17" s="38">
        <v>11003</v>
      </c>
      <c r="K17" s="38">
        <v>6905</v>
      </c>
      <c r="L17" s="38">
        <v>6442</v>
      </c>
      <c r="M17" s="38">
        <v>5070</v>
      </c>
      <c r="N17" s="38">
        <v>5166</v>
      </c>
      <c r="O17" s="38">
        <v>2259</v>
      </c>
      <c r="P17" s="38">
        <v>5388</v>
      </c>
      <c r="Q17" s="38">
        <v>4143</v>
      </c>
      <c r="R17" s="65">
        <v>7927</v>
      </c>
      <c r="S17" s="1"/>
    </row>
    <row r="18" spans="1:19" x14ac:dyDescent="0.25">
      <c r="A18" s="40" t="s">
        <v>27</v>
      </c>
      <c r="B18" s="47">
        <f>(E18-F18)/F18</f>
        <v>-0.45993276522554921</v>
      </c>
      <c r="C18" s="129">
        <f>E18-[1]France!E18</f>
        <v>-1133</v>
      </c>
      <c r="D18" s="139">
        <f>F18-[1]France!F18</f>
        <v>-959</v>
      </c>
      <c r="E18" s="43">
        <v>6908</v>
      </c>
      <c r="F18" s="38">
        <v>12791</v>
      </c>
      <c r="G18" s="38">
        <v>8999</v>
      </c>
      <c r="H18" s="38">
        <v>12268</v>
      </c>
      <c r="I18" s="38">
        <v>10398</v>
      </c>
      <c r="J18" s="38">
        <v>7671</v>
      </c>
      <c r="K18" s="38">
        <v>8471</v>
      </c>
      <c r="L18" s="38">
        <v>7050</v>
      </c>
      <c r="M18" s="38">
        <v>3431</v>
      </c>
      <c r="N18" s="38">
        <v>5948</v>
      </c>
      <c r="O18" s="38">
        <v>2163</v>
      </c>
      <c r="P18" s="38">
        <v>4267</v>
      </c>
      <c r="Q18" s="38">
        <v>6410</v>
      </c>
      <c r="R18" s="65">
        <v>9110</v>
      </c>
      <c r="S18" s="1"/>
    </row>
    <row r="19" spans="1:19" x14ac:dyDescent="0.25">
      <c r="A19" s="40" t="s">
        <v>127</v>
      </c>
      <c r="B19" s="47">
        <f>(E19-F19)/F19</f>
        <v>-0.49610167681298728</v>
      </c>
      <c r="C19" s="129">
        <f>E19-[1]France!E19</f>
        <v>4646</v>
      </c>
      <c r="D19" s="139">
        <f>F19-[1]France!F19</f>
        <v>9286</v>
      </c>
      <c r="E19" s="43">
        <v>4718</v>
      </c>
      <c r="F19" s="38">
        <v>9363</v>
      </c>
      <c r="G19" s="38">
        <v>8927</v>
      </c>
      <c r="H19" s="38">
        <v>12963</v>
      </c>
      <c r="I19" s="38">
        <v>10148</v>
      </c>
      <c r="J19" s="38">
        <v>9352</v>
      </c>
      <c r="K19" s="38">
        <v>9031</v>
      </c>
      <c r="L19" s="38">
        <v>8361</v>
      </c>
      <c r="M19" s="38">
        <v>5702</v>
      </c>
      <c r="N19" s="38">
        <v>11198</v>
      </c>
      <c r="O19" s="38">
        <v>3053</v>
      </c>
      <c r="P19" s="38">
        <v>4665</v>
      </c>
      <c r="Q19" s="38">
        <v>7950</v>
      </c>
      <c r="R19" s="65">
        <v>10794</v>
      </c>
    </row>
    <row r="20" spans="1:19" x14ac:dyDescent="0.25">
      <c r="A20" s="40" t="s">
        <v>120</v>
      </c>
      <c r="B20" s="47">
        <f>(E20-F20)/F20</f>
        <v>0.56521739130434778</v>
      </c>
      <c r="C20" s="129">
        <f>E20-[1]France!E20</f>
        <v>-12189</v>
      </c>
      <c r="D20" s="139">
        <f>F20-[1]France!F20</f>
        <v>-13734</v>
      </c>
      <c r="E20" s="43">
        <v>36</v>
      </c>
      <c r="F20" s="38">
        <v>23</v>
      </c>
      <c r="G20" s="38">
        <v>124</v>
      </c>
      <c r="H20" s="38">
        <v>204</v>
      </c>
      <c r="I20" s="38">
        <v>278</v>
      </c>
      <c r="J20" s="38">
        <v>0</v>
      </c>
      <c r="K20" s="38">
        <v>0</v>
      </c>
      <c r="L20" s="38">
        <v>47</v>
      </c>
      <c r="M20" s="38">
        <v>14</v>
      </c>
      <c r="N20" s="38">
        <v>113</v>
      </c>
      <c r="O20" s="38">
        <v>11</v>
      </c>
      <c r="P20" s="38">
        <v>455</v>
      </c>
      <c r="Q20" s="38">
        <v>70</v>
      </c>
      <c r="R20" s="65">
        <v>46</v>
      </c>
    </row>
    <row r="21" spans="1:19" x14ac:dyDescent="0.25">
      <c r="A21" s="40" t="s">
        <v>88</v>
      </c>
      <c r="B21" s="47">
        <f>(E21-F21)/F21</f>
        <v>-0.32667826724058979</v>
      </c>
      <c r="C21" s="129">
        <f>E21-[1]France!E21</f>
        <v>724</v>
      </c>
      <c r="D21" s="139">
        <f>F21-[1]France!F21</f>
        <v>87</v>
      </c>
      <c r="E21" s="43">
        <v>7352</v>
      </c>
      <c r="F21" s="38">
        <v>10919</v>
      </c>
      <c r="G21" s="38">
        <v>7820</v>
      </c>
      <c r="H21" s="38">
        <v>8368</v>
      </c>
      <c r="I21" s="38">
        <v>7185</v>
      </c>
      <c r="J21" s="38">
        <v>5002</v>
      </c>
      <c r="K21" s="38">
        <v>5090</v>
      </c>
      <c r="L21" s="38">
        <v>7851</v>
      </c>
      <c r="M21" s="38">
        <v>6506</v>
      </c>
      <c r="N21" s="38">
        <v>12813</v>
      </c>
      <c r="O21" s="38">
        <v>1958</v>
      </c>
      <c r="P21" s="38">
        <v>10639</v>
      </c>
      <c r="Q21" s="38">
        <v>9549</v>
      </c>
      <c r="R21" s="65">
        <v>9977</v>
      </c>
    </row>
    <row r="22" spans="1:19" x14ac:dyDescent="0.25">
      <c r="A22" s="40" t="s">
        <v>116</v>
      </c>
      <c r="B22" s="47"/>
      <c r="C22" s="129">
        <f>E22-[1]France!E22</f>
        <v>0</v>
      </c>
      <c r="D22" s="139">
        <f>F22-[1]France!F22</f>
        <v>0</v>
      </c>
      <c r="E22" s="43"/>
      <c r="F22" s="38"/>
      <c r="G22" s="38">
        <v>373</v>
      </c>
      <c r="H22" s="38">
        <v>999</v>
      </c>
      <c r="I22" s="38">
        <v>409</v>
      </c>
      <c r="J22" s="38">
        <v>249</v>
      </c>
      <c r="K22" s="38">
        <v>98</v>
      </c>
      <c r="L22" s="38">
        <v>482</v>
      </c>
      <c r="M22" s="38">
        <v>100</v>
      </c>
      <c r="N22" s="38">
        <v>946</v>
      </c>
      <c r="O22" s="38">
        <v>192</v>
      </c>
      <c r="P22" s="38">
        <v>694</v>
      </c>
      <c r="Q22" s="38">
        <v>387</v>
      </c>
      <c r="R22" s="65">
        <v>1032</v>
      </c>
    </row>
    <row r="23" spans="1:19" x14ac:dyDescent="0.25">
      <c r="A23" s="40" t="s">
        <v>130</v>
      </c>
      <c r="B23" s="47"/>
      <c r="C23" s="129">
        <f>E23-[1]France!E23</f>
        <v>0</v>
      </c>
      <c r="D23" s="139">
        <f>F23-[1]France!F23</f>
        <v>0</v>
      </c>
      <c r="E23" s="43"/>
      <c r="F23" s="38"/>
      <c r="G23" s="38">
        <v>9468</v>
      </c>
      <c r="H23" s="38">
        <v>9225</v>
      </c>
      <c r="I23" s="38">
        <v>8522</v>
      </c>
      <c r="J23" s="38">
        <v>6714</v>
      </c>
      <c r="K23" s="38">
        <v>5319</v>
      </c>
      <c r="L23" s="38">
        <v>4508</v>
      </c>
      <c r="M23" s="38">
        <v>6322</v>
      </c>
      <c r="N23" s="38">
        <v>5701</v>
      </c>
      <c r="O23" s="38">
        <v>4236</v>
      </c>
      <c r="P23" s="38">
        <v>5820</v>
      </c>
      <c r="Q23" s="38">
        <v>1520</v>
      </c>
      <c r="R23" s="65">
        <v>1787</v>
      </c>
    </row>
    <row r="24" spans="1:19" x14ac:dyDescent="0.25">
      <c r="A24" s="40" t="s">
        <v>125</v>
      </c>
      <c r="B24" s="47">
        <f>(E24-F24)/F24</f>
        <v>-7.4537865235539652E-2</v>
      </c>
      <c r="C24" s="129">
        <f>E24-[1]France!E24</f>
        <v>-428</v>
      </c>
      <c r="D24" s="139">
        <f>F24-[1]France!F24</f>
        <v>-352</v>
      </c>
      <c r="E24" s="43">
        <v>1552</v>
      </c>
      <c r="F24" s="38">
        <v>1677</v>
      </c>
      <c r="G24" s="38">
        <v>1225</v>
      </c>
      <c r="H24" s="38">
        <v>1755</v>
      </c>
      <c r="I24" s="38">
        <v>1899</v>
      </c>
      <c r="J24" s="38">
        <v>1632</v>
      </c>
      <c r="K24" s="38">
        <v>3474</v>
      </c>
      <c r="L24" s="38">
        <v>2525</v>
      </c>
      <c r="M24" s="38">
        <v>1491</v>
      </c>
      <c r="N24" s="38">
        <v>3582</v>
      </c>
      <c r="O24" s="38">
        <v>2255</v>
      </c>
      <c r="P24" s="38">
        <v>2376</v>
      </c>
      <c r="Q24" s="38">
        <v>2314</v>
      </c>
      <c r="R24" s="65">
        <v>3027</v>
      </c>
    </row>
    <row r="25" spans="1:19" ht="13.8" thickBot="1" x14ac:dyDescent="0.3">
      <c r="A25" s="41" t="s">
        <v>6</v>
      </c>
      <c r="B25" s="47">
        <f>(E25-F25)/F25</f>
        <v>0.86054862842892765</v>
      </c>
      <c r="C25" s="130">
        <f>E25-[1]France!E25</f>
        <v>-14978</v>
      </c>
      <c r="D25" s="140">
        <f>F25-[1]France!F25</f>
        <v>-4398</v>
      </c>
      <c r="E25" s="44">
        <f>9588+3241+21745+2730</f>
        <v>37304</v>
      </c>
      <c r="F25" s="37">
        <f>10995+1215+7840</f>
        <v>20050</v>
      </c>
      <c r="G25" s="37">
        <v>14489</v>
      </c>
      <c r="H25" s="37">
        <v>7402</v>
      </c>
      <c r="I25" s="37">
        <v>6609</v>
      </c>
      <c r="J25" s="37">
        <v>2601</v>
      </c>
      <c r="K25" s="37">
        <v>2751</v>
      </c>
      <c r="L25" s="37">
        <v>2206</v>
      </c>
      <c r="M25" s="37">
        <v>2199</v>
      </c>
      <c r="N25" s="37">
        <v>6381</v>
      </c>
      <c r="O25" s="37">
        <v>3160</v>
      </c>
      <c r="P25" s="37">
        <v>4645</v>
      </c>
      <c r="Q25" s="37">
        <v>6861</v>
      </c>
      <c r="R25" s="66">
        <v>8081</v>
      </c>
    </row>
    <row r="26" spans="1:19" ht="13.8" thickBot="1" x14ac:dyDescent="0.3">
      <c r="A26" s="39" t="s">
        <v>92</v>
      </c>
      <c r="B26" s="143">
        <f>(E26-F26)/F26</f>
        <v>-0.11859678970886799</v>
      </c>
      <c r="C26" s="70">
        <f>E26-[1]France!E26</f>
        <v>-104107</v>
      </c>
      <c r="D26" s="141">
        <f>F26-[1]France!F26</f>
        <v>-80478</v>
      </c>
      <c r="E26" s="117">
        <f>SUM(E2:E25)</f>
        <v>356428</v>
      </c>
      <c r="F26" s="34">
        <f t="shared" ref="F26:L26" si="1">SUM(F2:F25)</f>
        <v>404387</v>
      </c>
      <c r="G26" s="34">
        <f t="shared" si="1"/>
        <v>381899</v>
      </c>
      <c r="H26" s="84">
        <f t="shared" si="1"/>
        <v>446918</v>
      </c>
      <c r="I26" s="84">
        <f t="shared" si="1"/>
        <v>391058</v>
      </c>
      <c r="J26" s="84">
        <f t="shared" si="1"/>
        <v>354430</v>
      </c>
      <c r="K26" s="46">
        <f t="shared" si="1"/>
        <v>380280</v>
      </c>
      <c r="L26" s="46">
        <f t="shared" si="1"/>
        <v>368757</v>
      </c>
      <c r="M26" s="46">
        <f t="shared" ref="M26:R26" si="2">SUM(M2:M25)</f>
        <v>338304</v>
      </c>
      <c r="N26" s="46">
        <f t="shared" si="2"/>
        <v>439361</v>
      </c>
      <c r="O26" s="46">
        <f t="shared" si="2"/>
        <v>207885</v>
      </c>
      <c r="P26" s="46">
        <f t="shared" si="2"/>
        <v>357701</v>
      </c>
      <c r="Q26" s="46">
        <f t="shared" si="2"/>
        <v>363259</v>
      </c>
      <c r="R26" s="86">
        <f t="shared" si="2"/>
        <v>389073</v>
      </c>
    </row>
    <row r="28" spans="1:19" s="52" customFormat="1" ht="13.8" thickBot="1" x14ac:dyDescent="0.3">
      <c r="A28" s="74"/>
    </row>
    <row r="29" spans="1:19" s="52" customFormat="1" ht="13.8" thickBot="1" x14ac:dyDescent="0.3">
      <c r="A29" s="39" t="s">
        <v>25</v>
      </c>
      <c r="B29" s="24" t="s">
        <v>176</v>
      </c>
      <c r="C29" s="49" t="s">
        <v>177</v>
      </c>
      <c r="D29" s="25" t="s">
        <v>173</v>
      </c>
      <c r="E29" s="115">
        <v>44986</v>
      </c>
      <c r="F29" s="25">
        <v>44621</v>
      </c>
      <c r="G29" s="25">
        <v>44256</v>
      </c>
      <c r="H29" s="25">
        <v>43891</v>
      </c>
      <c r="I29" s="25">
        <v>43525</v>
      </c>
      <c r="J29" s="25">
        <v>43160</v>
      </c>
      <c r="K29" s="25">
        <v>42795</v>
      </c>
      <c r="L29" s="25">
        <v>42430</v>
      </c>
      <c r="M29" s="25">
        <f>M1</f>
        <v>42064</v>
      </c>
      <c r="N29" s="25">
        <v>41699</v>
      </c>
      <c r="O29" s="25">
        <v>41334</v>
      </c>
      <c r="P29" s="25">
        <v>40969</v>
      </c>
      <c r="Q29" s="25">
        <v>40603</v>
      </c>
      <c r="R29" s="26">
        <v>40238</v>
      </c>
    </row>
    <row r="30" spans="1:19" x14ac:dyDescent="0.25">
      <c r="A30" s="54" t="s">
        <v>138</v>
      </c>
      <c r="B30" s="47">
        <f>(E30-F30)/F30</f>
        <v>-0.61240310077519378</v>
      </c>
      <c r="C30" s="129">
        <f>E30-[1]France!E30</f>
        <v>-316</v>
      </c>
      <c r="D30" s="38">
        <f>F30-[1]France!F30</f>
        <v>-815</v>
      </c>
      <c r="E30" s="43">
        <v>350</v>
      </c>
      <c r="F30" s="38">
        <v>903</v>
      </c>
      <c r="G30" s="38">
        <v>2022</v>
      </c>
      <c r="H30" s="38">
        <v>605</v>
      </c>
      <c r="I30" s="38">
        <v>1101</v>
      </c>
      <c r="J30" s="38">
        <v>950</v>
      </c>
      <c r="K30" s="38">
        <v>1471</v>
      </c>
      <c r="L30">
        <v>1242</v>
      </c>
      <c r="M30">
        <v>2579</v>
      </c>
      <c r="N30">
        <v>3231</v>
      </c>
      <c r="O30">
        <v>510</v>
      </c>
      <c r="P30">
        <v>2615</v>
      </c>
      <c r="Q30" s="94"/>
      <c r="R30" s="91"/>
    </row>
    <row r="31" spans="1:19" x14ac:dyDescent="0.25">
      <c r="A31" s="54" t="s">
        <v>139</v>
      </c>
      <c r="B31" s="47"/>
      <c r="C31" s="129">
        <f>E31-[1]France!E31</f>
        <v>0</v>
      </c>
      <c r="D31" s="38">
        <f>F31-[1]France!F31</f>
        <v>0</v>
      </c>
      <c r="E31" s="43"/>
      <c r="F31" s="38"/>
      <c r="G31" s="38"/>
      <c r="H31" s="38">
        <v>0</v>
      </c>
      <c r="I31" s="38"/>
      <c r="J31" s="38"/>
      <c r="K31" s="38"/>
      <c r="L31" s="94">
        <v>0</v>
      </c>
      <c r="M31" s="94"/>
      <c r="N31" s="94"/>
      <c r="O31" s="94"/>
      <c r="P31" s="94"/>
      <c r="Q31" s="94"/>
      <c r="R31" s="91"/>
    </row>
    <row r="32" spans="1:19" x14ac:dyDescent="0.25">
      <c r="A32" s="54" t="s">
        <v>7</v>
      </c>
      <c r="B32" s="47">
        <f>(E32-F32)/F32</f>
        <v>-0.55655655655655656</v>
      </c>
      <c r="C32" s="129">
        <f>E32-[1]France!E32</f>
        <v>-1081</v>
      </c>
      <c r="D32" s="38">
        <f>F32-[1]France!F32</f>
        <v>-473</v>
      </c>
      <c r="E32" s="43">
        <v>443</v>
      </c>
      <c r="F32" s="38">
        <v>999</v>
      </c>
      <c r="G32" s="38">
        <v>1787</v>
      </c>
      <c r="H32" s="38">
        <v>1461</v>
      </c>
      <c r="I32" s="38">
        <v>1768</v>
      </c>
      <c r="J32" s="38">
        <v>1417</v>
      </c>
      <c r="K32" s="38">
        <v>1309</v>
      </c>
      <c r="L32">
        <v>1756</v>
      </c>
      <c r="M32">
        <v>1106</v>
      </c>
      <c r="N32">
        <v>477</v>
      </c>
      <c r="O32">
        <v>673</v>
      </c>
      <c r="P32">
        <v>1850</v>
      </c>
      <c r="Q32" s="38"/>
      <c r="R32" s="65"/>
    </row>
    <row r="33" spans="1:18" x14ac:dyDescent="0.25">
      <c r="A33" s="54" t="s">
        <v>93</v>
      </c>
      <c r="B33" s="47">
        <f>(E33-F33)/F33</f>
        <v>1.3571428571428572</v>
      </c>
      <c r="C33" s="129">
        <f>E33-[1]France!E33</f>
        <v>-465</v>
      </c>
      <c r="D33" s="38">
        <f>F33-[1]France!F33</f>
        <v>-336</v>
      </c>
      <c r="E33" s="43">
        <v>66</v>
      </c>
      <c r="F33" s="38">
        <v>28</v>
      </c>
      <c r="G33" s="38">
        <v>84</v>
      </c>
      <c r="H33" s="38">
        <v>102</v>
      </c>
      <c r="I33" s="38">
        <v>403</v>
      </c>
      <c r="J33" s="38">
        <v>371</v>
      </c>
      <c r="K33" s="38">
        <v>227</v>
      </c>
      <c r="L33" s="3">
        <v>352</v>
      </c>
      <c r="M33">
        <v>208</v>
      </c>
      <c r="N33">
        <v>166</v>
      </c>
      <c r="O33">
        <v>6</v>
      </c>
      <c r="P33">
        <v>426</v>
      </c>
      <c r="Q33" s="38"/>
      <c r="R33" s="65"/>
    </row>
    <row r="34" spans="1:18" x14ac:dyDescent="0.25">
      <c r="A34" s="54" t="s">
        <v>140</v>
      </c>
      <c r="B34" s="47"/>
      <c r="C34" s="129">
        <f>E34-[1]France!E34</f>
        <v>0</v>
      </c>
      <c r="D34" s="38">
        <f>F34-[1]France!F34</f>
        <v>0</v>
      </c>
      <c r="E34" s="43"/>
      <c r="F34" s="38"/>
      <c r="G34" s="38"/>
      <c r="H34" s="38"/>
      <c r="I34" s="38"/>
      <c r="J34" s="38"/>
      <c r="K34" s="38"/>
      <c r="L34" s="38">
        <v>0</v>
      </c>
      <c r="M34" s="38"/>
      <c r="N34" s="38"/>
      <c r="O34" s="38"/>
      <c r="P34" s="38"/>
      <c r="Q34" s="38"/>
      <c r="R34" s="65"/>
    </row>
    <row r="35" spans="1:18" x14ac:dyDescent="0.25">
      <c r="A35" s="54" t="s">
        <v>141</v>
      </c>
      <c r="B35" s="47">
        <f>(E35-F35)/F35</f>
        <v>5.3055555555555554</v>
      </c>
      <c r="C35" s="129">
        <f>E35-[1]France!E35</f>
        <v>-604</v>
      </c>
      <c r="D35" s="38">
        <f>F35-[1]France!F35</f>
        <v>-4</v>
      </c>
      <c r="E35" s="43">
        <v>227</v>
      </c>
      <c r="F35" s="38">
        <v>36</v>
      </c>
      <c r="G35" s="38">
        <v>164</v>
      </c>
      <c r="H35" s="38">
        <v>143</v>
      </c>
      <c r="I35" s="38">
        <v>566</v>
      </c>
      <c r="J35" s="38">
        <v>321</v>
      </c>
      <c r="K35" s="38">
        <v>290</v>
      </c>
      <c r="L35">
        <v>388</v>
      </c>
      <c r="M35">
        <v>285</v>
      </c>
      <c r="N35">
        <v>371</v>
      </c>
      <c r="O35">
        <v>348</v>
      </c>
      <c r="P35">
        <v>218</v>
      </c>
      <c r="Q35" s="38"/>
      <c r="R35" s="65"/>
    </row>
    <row r="36" spans="1:18" x14ac:dyDescent="0.25">
      <c r="A36" s="54" t="s">
        <v>142</v>
      </c>
      <c r="B36" s="47"/>
      <c r="C36" s="129">
        <f>E36-[1]France!E36</f>
        <v>0</v>
      </c>
      <c r="D36" s="38">
        <f>F36-[1]France!F36</f>
        <v>0</v>
      </c>
      <c r="E36" s="43"/>
      <c r="F36" s="38"/>
      <c r="G36" s="38"/>
      <c r="H36" s="38"/>
      <c r="I36" s="38"/>
      <c r="J36" s="38"/>
      <c r="K36" s="38"/>
      <c r="L36" s="38">
        <v>0</v>
      </c>
      <c r="M36" s="38"/>
      <c r="N36" s="38"/>
      <c r="O36" s="38"/>
      <c r="P36" s="38"/>
      <c r="Q36" s="38"/>
      <c r="R36" s="65"/>
    </row>
    <row r="37" spans="1:18" ht="13.8" thickBot="1" x14ac:dyDescent="0.3">
      <c r="A37" s="58" t="s">
        <v>6</v>
      </c>
      <c r="B37" s="47">
        <f>(E37-F37)/F37</f>
        <v>6.7654320987654319</v>
      </c>
      <c r="C37" s="130">
        <f>E37-[1]France!E37</f>
        <v>-227</v>
      </c>
      <c r="D37" s="37">
        <f>F37-[1]France!F37</f>
        <v>-80</v>
      </c>
      <c r="E37" s="44">
        <f>460+169</f>
        <v>629</v>
      </c>
      <c r="F37" s="37">
        <v>81</v>
      </c>
      <c r="G37" s="37">
        <v>391</v>
      </c>
      <c r="H37" s="37">
        <v>105</v>
      </c>
      <c r="I37" s="37">
        <v>336</v>
      </c>
      <c r="J37" s="37">
        <v>56</v>
      </c>
      <c r="K37" s="38">
        <v>261</v>
      </c>
      <c r="L37">
        <v>9</v>
      </c>
      <c r="M37">
        <v>30</v>
      </c>
      <c r="N37" s="3">
        <v>95</v>
      </c>
      <c r="O37">
        <v>3</v>
      </c>
      <c r="P37">
        <v>243</v>
      </c>
      <c r="Q37" s="38"/>
      <c r="R37" s="65"/>
    </row>
    <row r="38" spans="1:18" ht="13.8" thickBot="1" x14ac:dyDescent="0.3">
      <c r="A38" s="39" t="s">
        <v>92</v>
      </c>
      <c r="B38" s="143">
        <f>(E38-F38)/F38</f>
        <v>-0.1621885686370298</v>
      </c>
      <c r="C38" s="70">
        <f>E38-[1]France!E38</f>
        <v>-2693</v>
      </c>
      <c r="D38" s="84">
        <f>F38-[1]France!F38</f>
        <v>-1708</v>
      </c>
      <c r="E38" s="121">
        <f t="shared" ref="E38:J38" si="3">SUM(E30:E37)</f>
        <v>1715</v>
      </c>
      <c r="F38" s="84">
        <f t="shared" si="3"/>
        <v>2047</v>
      </c>
      <c r="G38" s="84">
        <f t="shared" si="3"/>
        <v>4448</v>
      </c>
      <c r="H38" s="84">
        <f t="shared" si="3"/>
        <v>2416</v>
      </c>
      <c r="I38" s="84">
        <f t="shared" si="3"/>
        <v>4174</v>
      </c>
      <c r="J38" s="84">
        <f t="shared" si="3"/>
        <v>3115</v>
      </c>
      <c r="K38" s="46">
        <f t="shared" ref="K38:P38" si="4">SUM(K30:K37)</f>
        <v>3558</v>
      </c>
      <c r="L38" s="46">
        <f t="shared" si="4"/>
        <v>3747</v>
      </c>
      <c r="M38" s="46">
        <f t="shared" si="4"/>
        <v>4208</v>
      </c>
      <c r="N38" s="46">
        <f t="shared" si="4"/>
        <v>4340</v>
      </c>
      <c r="O38" s="46">
        <f t="shared" si="4"/>
        <v>1540</v>
      </c>
      <c r="P38" s="46">
        <f t="shared" si="4"/>
        <v>5352</v>
      </c>
      <c r="Q38" s="46"/>
      <c r="R38" s="86"/>
    </row>
  </sheetData>
  <pageMargins left="0.75" right="0.75" top="1" bottom="1" header="0.5" footer="0.5"/>
  <pageSetup paperSize="9" scale="66" fitToHeight="3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B941D97F322B428ECE0E94A7E9CB38" ma:contentTypeVersion="16" ma:contentTypeDescription="Create a new document." ma:contentTypeScope="" ma:versionID="8a0880b3dca6d02a18ef5d8df8da40ed">
  <xsd:schema xmlns:xsd="http://www.w3.org/2001/XMLSchema" xmlns:xs="http://www.w3.org/2001/XMLSchema" xmlns:p="http://schemas.microsoft.com/office/2006/metadata/properties" xmlns:ns2="5d5a9754-d989-458f-8bd1-64889b46f6fa" xmlns:ns3="0302a5af-5ac8-462a-a23b-b4d1027da431" targetNamespace="http://schemas.microsoft.com/office/2006/metadata/properties" ma:root="true" ma:fieldsID="9cbc66d2a445352be1a7280af57c482d" ns2:_="" ns3:_="">
    <xsd:import namespace="5d5a9754-d989-458f-8bd1-64889b46f6fa"/>
    <xsd:import namespace="0302a5af-5ac8-462a-a23b-b4d1027da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a9754-d989-458f-8bd1-64889b46f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0e4ba69-e80c-4913-b477-8a96dcaff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2a5af-5ac8-462a-a23b-b4d1027da43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86be234-e780-497d-b4dc-e60f5fc21a6b}" ma:internalName="TaxCatchAll" ma:showField="CatchAllData" ma:web="0302a5af-5ac8-462a-a23b-b4d1027da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a9754-d989-458f-8bd1-64889b46f6fa">
      <Terms xmlns="http://schemas.microsoft.com/office/infopath/2007/PartnerControls"/>
    </lcf76f155ced4ddcb4097134ff3c332f>
    <TaxCatchAll xmlns="0302a5af-5ac8-462a-a23b-b4d1027da431" xsi:nil="true"/>
  </documentManagement>
</p:properties>
</file>

<file path=customXml/itemProps1.xml><?xml version="1.0" encoding="utf-8"?>
<ds:datastoreItem xmlns:ds="http://schemas.openxmlformats.org/officeDocument/2006/customXml" ds:itemID="{518F7746-6082-E645-A74F-2A222BFC153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A1F0146-2AA7-4E2E-9201-775FC7C6D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a9754-d989-458f-8bd1-64889b46f6fa"/>
    <ds:schemaRef ds:uri="0302a5af-5ac8-462a-a23b-b4d1027da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8EFB18-33E2-5740-A230-58DB606234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53645C-8E6D-4DA4-AF42-5E2AB9668220}">
  <ds:schemaRefs>
    <ds:schemaRef ds:uri="http://www.w3.org/XML/1998/namespace"/>
    <ds:schemaRef ds:uri="http://purl.org/dc/elements/1.1/"/>
    <ds:schemaRef ds:uri="http://purl.org/dc/terms/"/>
    <ds:schemaRef ds:uri="0302a5af-5ac8-462a-a23b-b4d1027da431"/>
    <ds:schemaRef ds:uri="http://purl.org/dc/dcmitype/"/>
    <ds:schemaRef ds:uri="http://schemas.openxmlformats.org/package/2006/metadata/core-properties"/>
    <ds:schemaRef ds:uri="5d5a9754-d989-458f-8bd1-64889b46f6f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Intro</vt:lpstr>
      <vt:lpstr>US</vt:lpstr>
      <vt:lpstr>Europe - country</vt:lpstr>
      <vt:lpstr>Europe - variety</vt:lpstr>
      <vt:lpstr>Austria</vt:lpstr>
      <vt:lpstr>Belgium</vt:lpstr>
      <vt:lpstr>Czech Republic</vt:lpstr>
      <vt:lpstr>Denmark</vt:lpstr>
      <vt:lpstr>France</vt:lpstr>
      <vt:lpstr>Germany</vt:lpstr>
      <vt:lpstr>Italy</vt:lpstr>
      <vt:lpstr>Poland</vt:lpstr>
      <vt:lpstr>Portugal</vt:lpstr>
      <vt:lpstr>Spain</vt:lpstr>
      <vt:lpstr>Switzerland</vt:lpstr>
      <vt:lpstr>Netherlands</vt:lpstr>
      <vt:lpstr>UK</vt:lpstr>
      <vt:lpstr>'Europe - country'!Print_Area</vt:lpstr>
      <vt:lpstr>'Europe - variety'!Print_Area</vt:lpstr>
      <vt:lpstr>US!Print_Area</vt:lpstr>
    </vt:vector>
  </TitlesOfParts>
  <Company>Freshfell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</dc:creator>
  <cp:lastModifiedBy>Gil Kaufman</cp:lastModifiedBy>
  <cp:lastPrinted>2010-03-23T13:31:44Z</cp:lastPrinted>
  <dcterms:created xsi:type="dcterms:W3CDTF">2006-12-13T13:34:27Z</dcterms:created>
  <dcterms:modified xsi:type="dcterms:W3CDTF">2023-04-04T07:29:10Z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424400.000000000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ContentTypeId">
    <vt:lpwstr>0x01010052B941D97F322B428ECE0E94A7E9CB38</vt:lpwstr>
  </property>
  <property fmtid="{D5CDD505-2E9C-101B-9397-08002B2CF9AE}" pid="6" name="MediaServiceImageTags">
    <vt:lpwstr/>
  </property>
</Properties>
</file>