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"/>
    </mc:Choice>
  </mc:AlternateContent>
  <xr:revisionPtr revIDLastSave="360" documentId="13_ncr:4000b_{F8A3B63F-A9C0-48C0-BAA4-CDCCA76BBADC}" xr6:coauthVersionLast="47" xr6:coauthVersionMax="47" xr10:uidLastSave="{4F964F24-CA44-4FC4-A781-DCCB72350738}"/>
  <bookViews>
    <workbookView xWindow="28680" yWindow="-120" windowWidth="29040" windowHeight="15720" tabRatio="725" firstSheet="1" activeTab="2" xr2:uid="{00000000-000D-0000-FFFF-FFFF00000000}"/>
  </bookViews>
  <sheets>
    <sheet name="Intro" sheetId="22" r:id="rId1"/>
    <sheet name="US" sheetId="24" r:id="rId2"/>
    <sheet name="EU - country" sheetId="25" r:id="rId3"/>
    <sheet name="EU - variety" sheetId="26" r:id="rId4"/>
    <sheet name="Austria" sheetId="27" r:id="rId5"/>
    <sheet name="Belgium" sheetId="28" r:id="rId6"/>
    <sheet name="Czech Republic" sheetId="29" r:id="rId7"/>
    <sheet name="Denmark" sheetId="30" r:id="rId8"/>
    <sheet name="France" sheetId="31" r:id="rId9"/>
    <sheet name="Germany" sheetId="32" r:id="rId10"/>
    <sheet name="Italy" sheetId="33" r:id="rId11"/>
    <sheet name="Sheet15" sheetId="38" state="hidden" r:id="rId12"/>
    <sheet name="Poland" sheetId="39" r:id="rId13"/>
    <sheet name="Portugal" sheetId="41" r:id="rId14"/>
    <sheet name="Slovakia" sheetId="42" r:id="rId15"/>
    <sheet name="Spain" sheetId="34" r:id="rId16"/>
    <sheet name="Switzerland" sheetId="35" r:id="rId17"/>
    <sheet name="Netherlands" sheetId="36" r:id="rId18"/>
    <sheet name="UK" sheetId="37" r:id="rId19"/>
  </sheets>
  <externalReferences>
    <externalReference r:id="rId20"/>
  </externalReferences>
  <definedNames>
    <definedName name="_xlnm.Print_Area" localSheetId="4">Austria!$A$1:$A$21</definedName>
    <definedName name="_xlnm.Print_Area" localSheetId="7">Denmark!$A$1:$S$20</definedName>
    <definedName name="_xlnm.Print_Area" localSheetId="2">'EU - country'!$A$1:$V$37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4" l="1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E27" i="24"/>
  <c r="C14" i="25"/>
  <c r="C13" i="25"/>
  <c r="C12" i="25"/>
  <c r="C11" i="25"/>
  <c r="C10" i="25"/>
  <c r="C8" i="25"/>
  <c r="C7" i="25"/>
  <c r="C6" i="25"/>
  <c r="C5" i="25"/>
  <c r="C4" i="25"/>
  <c r="C3" i="25"/>
  <c r="C2" i="25"/>
  <c r="C31" i="25"/>
  <c r="C30" i="25"/>
  <c r="C29" i="25"/>
  <c r="C28" i="25"/>
  <c r="C25" i="25"/>
  <c r="C24" i="25"/>
  <c r="C23" i="25"/>
  <c r="C22" i="25"/>
  <c r="C21" i="25"/>
  <c r="C20" i="25"/>
  <c r="D31" i="25"/>
  <c r="D24" i="25"/>
  <c r="D14" i="25"/>
  <c r="D7" i="25"/>
  <c r="C15" i="36"/>
  <c r="C14" i="36"/>
  <c r="C13" i="36"/>
  <c r="C12" i="36"/>
  <c r="C8" i="36"/>
  <c r="C7" i="36"/>
  <c r="C6" i="36"/>
  <c r="C5" i="36"/>
  <c r="C4" i="36"/>
  <c r="C3" i="36"/>
  <c r="C2" i="36"/>
  <c r="E15" i="36"/>
  <c r="E8" i="36"/>
  <c r="C26" i="32"/>
  <c r="C25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2" i="32"/>
  <c r="E21" i="32"/>
  <c r="C41" i="24" l="1"/>
  <c r="C40" i="24"/>
  <c r="C39" i="24"/>
  <c r="C38" i="24"/>
  <c r="C37" i="24"/>
  <c r="C36" i="24"/>
  <c r="C35" i="24"/>
  <c r="C34" i="24"/>
  <c r="C33" i="24"/>
  <c r="C32" i="24"/>
  <c r="C31" i="24"/>
  <c r="E41" i="24"/>
  <c r="C25" i="39" l="1"/>
  <c r="C24" i="39"/>
  <c r="C23" i="39"/>
  <c r="C22" i="39"/>
  <c r="E25" i="39"/>
  <c r="C18" i="39"/>
  <c r="C17" i="39"/>
  <c r="C16" i="39"/>
  <c r="C15" i="39"/>
  <c r="C14" i="39"/>
  <c r="C13" i="39"/>
  <c r="C12" i="39"/>
  <c r="C11" i="39"/>
  <c r="C10" i="39"/>
  <c r="C9" i="39"/>
  <c r="C8" i="39"/>
  <c r="C7" i="39"/>
  <c r="C6" i="39"/>
  <c r="C5" i="39"/>
  <c r="C4" i="39"/>
  <c r="C3" i="39"/>
  <c r="C2" i="39"/>
  <c r="E18" i="39"/>
  <c r="C29" i="33" l="1"/>
  <c r="C28" i="33"/>
  <c r="C27" i="33"/>
  <c r="C26" i="33"/>
  <c r="C25" i="33"/>
  <c r="C24" i="33"/>
  <c r="E29" i="33"/>
  <c r="C20" i="33" l="1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3" i="33"/>
  <c r="C2" i="33"/>
  <c r="E20" i="33"/>
  <c r="C38" i="31" l="1"/>
  <c r="C37" i="31"/>
  <c r="C36" i="31"/>
  <c r="C35" i="31"/>
  <c r="C34" i="31"/>
  <c r="C33" i="31"/>
  <c r="C32" i="31"/>
  <c r="C31" i="31"/>
  <c r="C30" i="31"/>
  <c r="E38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E26" i="31"/>
  <c r="C17" i="34" l="1"/>
  <c r="C16" i="34"/>
  <c r="C15" i="34"/>
  <c r="C14" i="34"/>
  <c r="C13" i="34"/>
  <c r="C12" i="34"/>
  <c r="C8" i="34"/>
  <c r="C7" i="34"/>
  <c r="C6" i="34"/>
  <c r="C5" i="34"/>
  <c r="C4" i="34"/>
  <c r="C3" i="34"/>
  <c r="C2" i="34"/>
  <c r="E17" i="34"/>
  <c r="E8" i="34"/>
  <c r="C27" i="30"/>
  <c r="C26" i="30"/>
  <c r="C25" i="30"/>
  <c r="C24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E27" i="30"/>
  <c r="E20" i="30"/>
  <c r="C21" i="29"/>
  <c r="C20" i="29"/>
  <c r="C19" i="29"/>
  <c r="C18" i="29"/>
  <c r="C17" i="29"/>
  <c r="C16" i="29"/>
  <c r="C12" i="29"/>
  <c r="C11" i="29"/>
  <c r="C10" i="29"/>
  <c r="C9" i="29"/>
  <c r="C8" i="29"/>
  <c r="C7" i="29"/>
  <c r="C6" i="29"/>
  <c r="C5" i="29"/>
  <c r="C4" i="29"/>
  <c r="C3" i="29"/>
  <c r="C2" i="29"/>
  <c r="E21" i="29"/>
  <c r="E12" i="29"/>
  <c r="C28" i="35" l="1"/>
  <c r="C27" i="35"/>
  <c r="C26" i="35"/>
  <c r="C25" i="35"/>
  <c r="C24" i="35"/>
  <c r="C23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E28" i="35"/>
  <c r="E19" i="35"/>
  <c r="E21" i="27" l="1"/>
  <c r="E20" i="28"/>
  <c r="C20" i="28" s="1"/>
  <c r="E10" i="28"/>
  <c r="C10" i="28" s="1"/>
  <c r="C19" i="28"/>
  <c r="C18" i="28"/>
  <c r="C17" i="28"/>
  <c r="C16" i="28"/>
  <c r="C15" i="28"/>
  <c r="C9" i="28"/>
  <c r="C8" i="28"/>
  <c r="C7" i="28"/>
  <c r="C6" i="28"/>
  <c r="C5" i="28"/>
  <c r="C4" i="28"/>
  <c r="C3" i="28"/>
  <c r="C2" i="28"/>
  <c r="C32" i="25" l="1"/>
  <c r="C15" i="25"/>
  <c r="E31" i="25"/>
  <c r="E30" i="25"/>
  <c r="E29" i="25"/>
  <c r="E27" i="25"/>
  <c r="E26" i="25"/>
  <c r="E25" i="25"/>
  <c r="E24" i="25"/>
  <c r="E23" i="25"/>
  <c r="E22" i="25"/>
  <c r="E21" i="25"/>
  <c r="E20" i="25"/>
  <c r="E14" i="25"/>
  <c r="E13" i="25"/>
  <c r="E12" i="25"/>
  <c r="E9" i="25"/>
  <c r="E8" i="25"/>
  <c r="E7" i="25"/>
  <c r="E6" i="25"/>
  <c r="E5" i="25"/>
  <c r="E4" i="25"/>
  <c r="E3" i="25"/>
  <c r="E2" i="25"/>
  <c r="C21" i="26"/>
  <c r="C6" i="26"/>
  <c r="C5" i="26"/>
  <c r="E43" i="26"/>
  <c r="C43" i="26" s="1"/>
  <c r="E42" i="26"/>
  <c r="E41" i="26"/>
  <c r="C41" i="26" s="1"/>
  <c r="E40" i="26"/>
  <c r="C40" i="26" s="1"/>
  <c r="E39" i="26"/>
  <c r="E38" i="26"/>
  <c r="C38" i="26" s="1"/>
  <c r="E37" i="26"/>
  <c r="C37" i="26" s="1"/>
  <c r="E36" i="26"/>
  <c r="C36" i="26" s="1"/>
  <c r="E31" i="26"/>
  <c r="C31" i="26" s="1"/>
  <c r="E30" i="26"/>
  <c r="C30" i="26" s="1"/>
  <c r="E29" i="26"/>
  <c r="C29" i="26" s="1"/>
  <c r="E28" i="26"/>
  <c r="C28" i="26" s="1"/>
  <c r="E27" i="26"/>
  <c r="C27" i="26" s="1"/>
  <c r="E26" i="26"/>
  <c r="C26" i="26" s="1"/>
  <c r="E25" i="26"/>
  <c r="C25" i="26" s="1"/>
  <c r="E24" i="26"/>
  <c r="C24" i="26" s="1"/>
  <c r="E23" i="26"/>
  <c r="C23" i="26" s="1"/>
  <c r="E22" i="26"/>
  <c r="C22" i="26" s="1"/>
  <c r="E21" i="26"/>
  <c r="E20" i="26"/>
  <c r="C20" i="26" s="1"/>
  <c r="E19" i="26"/>
  <c r="C19" i="26" s="1"/>
  <c r="E18" i="26"/>
  <c r="C18" i="26" s="1"/>
  <c r="E17" i="26"/>
  <c r="C17" i="26" s="1"/>
  <c r="E16" i="26"/>
  <c r="C16" i="26" s="1"/>
  <c r="E15" i="26"/>
  <c r="C15" i="26" s="1"/>
  <c r="E14" i="26"/>
  <c r="C14" i="26" s="1"/>
  <c r="E13" i="26"/>
  <c r="C13" i="26" s="1"/>
  <c r="E12" i="26"/>
  <c r="C12" i="26" s="1"/>
  <c r="E11" i="26"/>
  <c r="C11" i="26" s="1"/>
  <c r="E10" i="26"/>
  <c r="C10" i="26" s="1"/>
  <c r="E9" i="26"/>
  <c r="C9" i="26" s="1"/>
  <c r="E8" i="26"/>
  <c r="C8" i="26" s="1"/>
  <c r="E7" i="26"/>
  <c r="C7" i="26" s="1"/>
  <c r="E6" i="26"/>
  <c r="E5" i="26"/>
  <c r="E4" i="26"/>
  <c r="C4" i="26" s="1"/>
  <c r="E3" i="26"/>
  <c r="C3" i="26" s="1"/>
  <c r="E2" i="26"/>
  <c r="C2" i="26" s="1"/>
  <c r="C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E44" i="26" l="1"/>
  <c r="E33" i="25"/>
  <c r="E16" i="25"/>
  <c r="C39" i="26"/>
  <c r="E32" i="26"/>
  <c r="D19" i="37"/>
  <c r="D18" i="37"/>
  <c r="D17" i="37"/>
  <c r="D16" i="37"/>
  <c r="D12" i="37"/>
  <c r="D11" i="37"/>
  <c r="D10" i="37"/>
  <c r="D9" i="37"/>
  <c r="D8" i="37"/>
  <c r="D7" i="37"/>
  <c r="D6" i="37"/>
  <c r="D5" i="37"/>
  <c r="D4" i="37"/>
  <c r="D3" i="37"/>
  <c r="D2" i="37"/>
  <c r="D2" i="36"/>
  <c r="D14" i="36"/>
  <c r="D13" i="36"/>
  <c r="D12" i="36"/>
  <c r="D7" i="36"/>
  <c r="D6" i="36"/>
  <c r="D5" i="36"/>
  <c r="D4" i="36"/>
  <c r="D3" i="36"/>
  <c r="D2" i="35"/>
  <c r="D27" i="35"/>
  <c r="D26" i="35"/>
  <c r="D25" i="35"/>
  <c r="D24" i="35"/>
  <c r="D23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4"/>
  <c r="D16" i="34"/>
  <c r="D15" i="34"/>
  <c r="D14" i="34"/>
  <c r="D13" i="34"/>
  <c r="D12" i="34"/>
  <c r="D7" i="34"/>
  <c r="D6" i="34"/>
  <c r="D5" i="34"/>
  <c r="D4" i="34"/>
  <c r="D3" i="34"/>
  <c r="D2" i="42"/>
  <c r="D18" i="42"/>
  <c r="D17" i="42"/>
  <c r="D16" i="42"/>
  <c r="D15" i="42"/>
  <c r="D11" i="42"/>
  <c r="D10" i="42"/>
  <c r="D9" i="42"/>
  <c r="D8" i="42"/>
  <c r="D7" i="42"/>
  <c r="D6" i="42"/>
  <c r="D5" i="42"/>
  <c r="D4" i="42"/>
  <c r="D3" i="42"/>
  <c r="D2" i="39"/>
  <c r="D24" i="39"/>
  <c r="D23" i="39"/>
  <c r="D22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D2" i="33"/>
  <c r="D28" i="33"/>
  <c r="D27" i="33"/>
  <c r="D26" i="33"/>
  <c r="D25" i="33"/>
  <c r="D24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2"/>
  <c r="D26" i="32"/>
  <c r="D25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1"/>
  <c r="D37" i="31"/>
  <c r="D36" i="31"/>
  <c r="D35" i="31"/>
  <c r="D34" i="31"/>
  <c r="D33" i="31"/>
  <c r="D32" i="31"/>
  <c r="D31" i="31"/>
  <c r="D30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4" i="30"/>
  <c r="D26" i="30"/>
  <c r="D25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D2" i="29"/>
  <c r="D20" i="29"/>
  <c r="D19" i="29"/>
  <c r="D18" i="29"/>
  <c r="D17" i="29"/>
  <c r="D16" i="29"/>
  <c r="D11" i="29"/>
  <c r="D10" i="29"/>
  <c r="D9" i="29"/>
  <c r="D8" i="29"/>
  <c r="D7" i="29"/>
  <c r="D6" i="29"/>
  <c r="D5" i="29"/>
  <c r="D4" i="29"/>
  <c r="D3" i="29"/>
  <c r="D19" i="28"/>
  <c r="D18" i="28"/>
  <c r="D17" i="28"/>
  <c r="D16" i="28"/>
  <c r="D15" i="28"/>
  <c r="D9" i="28"/>
  <c r="D8" i="28"/>
  <c r="D7" i="28"/>
  <c r="D6" i="28"/>
  <c r="D5" i="28"/>
  <c r="D4" i="28"/>
  <c r="D3" i="28"/>
  <c r="D2" i="28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6" i="26"/>
  <c r="D5" i="26"/>
  <c r="D2" i="25"/>
  <c r="D40" i="24"/>
  <c r="D39" i="24"/>
  <c r="D38" i="24"/>
  <c r="D37" i="24"/>
  <c r="D36" i="24"/>
  <c r="D35" i="24"/>
  <c r="D34" i="24"/>
  <c r="D33" i="24"/>
  <c r="D32" i="24"/>
  <c r="D31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B19" i="37" l="1"/>
  <c r="B18" i="37"/>
  <c r="B17" i="37"/>
  <c r="B16" i="37"/>
  <c r="B12" i="37"/>
  <c r="B11" i="37"/>
  <c r="B10" i="37"/>
  <c r="B9" i="37"/>
  <c r="B8" i="37"/>
  <c r="B7" i="37"/>
  <c r="B6" i="37"/>
  <c r="B5" i="37"/>
  <c r="B4" i="37"/>
  <c r="B3" i="37"/>
  <c r="B2" i="37"/>
  <c r="B14" i="36"/>
  <c r="B13" i="36"/>
  <c r="B12" i="36"/>
  <c r="B7" i="36"/>
  <c r="B6" i="36"/>
  <c r="B5" i="36"/>
  <c r="B4" i="36"/>
  <c r="B3" i="36"/>
  <c r="B2" i="36"/>
  <c r="B27" i="35"/>
  <c r="B26" i="35"/>
  <c r="B25" i="35"/>
  <c r="B24" i="35"/>
  <c r="B23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16" i="34"/>
  <c r="B15" i="34"/>
  <c r="B14" i="34"/>
  <c r="B13" i="34"/>
  <c r="B12" i="34"/>
  <c r="B7" i="34"/>
  <c r="B6" i="34"/>
  <c r="B5" i="34"/>
  <c r="B4" i="34"/>
  <c r="B3" i="34"/>
  <c r="B2" i="34"/>
  <c r="B18" i="42"/>
  <c r="B17" i="42"/>
  <c r="B16" i="42"/>
  <c r="B15" i="42"/>
  <c r="B11" i="42"/>
  <c r="B10" i="42"/>
  <c r="B9" i="42"/>
  <c r="B8" i="42"/>
  <c r="B7" i="42"/>
  <c r="B6" i="42"/>
  <c r="B5" i="42"/>
  <c r="B4" i="42"/>
  <c r="B3" i="42"/>
  <c r="B2" i="42"/>
  <c r="B14" i="41"/>
  <c r="B13" i="41"/>
  <c r="B9" i="41"/>
  <c r="B8" i="41"/>
  <c r="B7" i="41"/>
  <c r="B6" i="41"/>
  <c r="B5" i="41"/>
  <c r="B4" i="41"/>
  <c r="B3" i="41"/>
  <c r="B2" i="41"/>
  <c r="B24" i="39"/>
  <c r="B23" i="39"/>
  <c r="B22" i="39"/>
  <c r="B17" i="39"/>
  <c r="B16" i="39"/>
  <c r="B15" i="39"/>
  <c r="B14" i="39"/>
  <c r="B13" i="39"/>
  <c r="B12" i="39"/>
  <c r="B11" i="39"/>
  <c r="B10" i="39"/>
  <c r="B9" i="39"/>
  <c r="B8" i="39"/>
  <c r="B7" i="39"/>
  <c r="B6" i="39"/>
  <c r="B5" i="39"/>
  <c r="B4" i="39"/>
  <c r="B3" i="39"/>
  <c r="B2" i="39"/>
  <c r="B4" i="33"/>
  <c r="B28" i="33"/>
  <c r="B27" i="33"/>
  <c r="B26" i="33"/>
  <c r="B25" i="33"/>
  <c r="B24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3" i="33"/>
  <c r="B2" i="33"/>
  <c r="B26" i="32"/>
  <c r="B25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B2" i="32"/>
  <c r="B37" i="31"/>
  <c r="B36" i="31"/>
  <c r="B35" i="31"/>
  <c r="B34" i="31"/>
  <c r="B33" i="31"/>
  <c r="B32" i="31"/>
  <c r="B31" i="31"/>
  <c r="B30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6" i="30"/>
  <c r="B25" i="30"/>
  <c r="B24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B3" i="30"/>
  <c r="B2" i="30"/>
  <c r="B20" i="29"/>
  <c r="B19" i="29"/>
  <c r="B18" i="29"/>
  <c r="B17" i="29"/>
  <c r="B16" i="29"/>
  <c r="B11" i="29"/>
  <c r="B10" i="29"/>
  <c r="B9" i="29"/>
  <c r="B8" i="29"/>
  <c r="B7" i="29"/>
  <c r="B6" i="29"/>
  <c r="B5" i="29"/>
  <c r="B4" i="29"/>
  <c r="B3" i="29"/>
  <c r="B2" i="29"/>
  <c r="B19" i="28"/>
  <c r="B18" i="28"/>
  <c r="B17" i="28"/>
  <c r="B16" i="28"/>
  <c r="B15" i="28"/>
  <c r="B9" i="28"/>
  <c r="B8" i="28"/>
  <c r="B7" i="28"/>
  <c r="B6" i="28"/>
  <c r="B5" i="28"/>
  <c r="B4" i="28"/>
  <c r="B3" i="28"/>
  <c r="B2" i="28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3" i="27"/>
  <c r="B2" i="27"/>
  <c r="B42" i="26"/>
  <c r="B6" i="26"/>
  <c r="B5" i="26"/>
  <c r="B2" i="25"/>
  <c r="B40" i="24"/>
  <c r="B39" i="24"/>
  <c r="B38" i="24"/>
  <c r="B37" i="24"/>
  <c r="B36" i="24"/>
  <c r="B35" i="24"/>
  <c r="B34" i="24"/>
  <c r="B33" i="24"/>
  <c r="B32" i="24"/>
  <c r="B31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3" i="24"/>
  <c r="B2" i="24"/>
  <c r="B32" i="25"/>
  <c r="B28" i="25"/>
  <c r="B27" i="25"/>
  <c r="B15" i="25"/>
  <c r="B11" i="25"/>
  <c r="B10" i="25"/>
  <c r="D32" i="25"/>
  <c r="D28" i="25"/>
  <c r="D15" i="25"/>
  <c r="D11" i="25"/>
  <c r="D10" i="25"/>
  <c r="F27" i="24" l="1"/>
  <c r="F12" i="24"/>
  <c r="F17" i="24"/>
  <c r="F24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" i="24"/>
  <c r="Z3" i="24"/>
  <c r="F51" i="24"/>
  <c r="F50" i="24"/>
  <c r="F49" i="24"/>
  <c r="F27" i="30"/>
  <c r="F22" i="25" s="1"/>
  <c r="F20" i="30"/>
  <c r="G19" i="30"/>
  <c r="F18" i="39"/>
  <c r="F25" i="39"/>
  <c r="F17" i="34"/>
  <c r="F8" i="34"/>
  <c r="F20" i="33"/>
  <c r="F29" i="33"/>
  <c r="F41" i="24"/>
  <c r="F43" i="26"/>
  <c r="F42" i="26"/>
  <c r="F41" i="26"/>
  <c r="F40" i="26"/>
  <c r="F39" i="26"/>
  <c r="F38" i="26"/>
  <c r="F37" i="26"/>
  <c r="F36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F2" i="26"/>
  <c r="F38" i="31"/>
  <c r="F26" i="31"/>
  <c r="F6" i="25" s="1"/>
  <c r="F21" i="27"/>
  <c r="F15" i="36"/>
  <c r="F8" i="36"/>
  <c r="F14" i="25"/>
  <c r="B14" i="25" s="1"/>
  <c r="F21" i="32"/>
  <c r="F7" i="25" s="1"/>
  <c r="B7" i="25" s="1"/>
  <c r="F21" i="29"/>
  <c r="F12" i="29"/>
  <c r="F30" i="25"/>
  <c r="F27" i="25"/>
  <c r="F24" i="25"/>
  <c r="B24" i="25" s="1"/>
  <c r="F9" i="25"/>
  <c r="F2" i="25"/>
  <c r="F28" i="35"/>
  <c r="F19" i="35"/>
  <c r="F20" i="28"/>
  <c r="F10" i="28"/>
  <c r="F3" i="25" s="1"/>
  <c r="G21" i="29"/>
  <c r="G21" i="25"/>
  <c r="G12" i="29"/>
  <c r="G4" i="25"/>
  <c r="H26" i="24"/>
  <c r="H27" i="24" s="1"/>
  <c r="G17" i="34"/>
  <c r="G29" i="25" s="1"/>
  <c r="G8" i="34"/>
  <c r="G15" i="36"/>
  <c r="G8" i="36"/>
  <c r="G21" i="32"/>
  <c r="G28" i="35"/>
  <c r="G30" i="25"/>
  <c r="G19" i="35"/>
  <c r="G38" i="31"/>
  <c r="G26" i="31"/>
  <c r="G21" i="27"/>
  <c r="G20" i="33"/>
  <c r="H19" i="30"/>
  <c r="H18" i="30"/>
  <c r="H20" i="30"/>
  <c r="H5" i="25" s="1"/>
  <c r="G18" i="30"/>
  <c r="G27" i="30"/>
  <c r="G43" i="26"/>
  <c r="G20" i="28"/>
  <c r="G20" i="25" s="1"/>
  <c r="G10" i="28"/>
  <c r="G3" i="25"/>
  <c r="G41" i="24"/>
  <c r="G29" i="33"/>
  <c r="G42" i="26"/>
  <c r="G41" i="26"/>
  <c r="G40" i="26"/>
  <c r="G39" i="26"/>
  <c r="G38" i="26"/>
  <c r="G37" i="26"/>
  <c r="G36" i="26"/>
  <c r="G31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31" i="25"/>
  <c r="G27" i="25"/>
  <c r="G26" i="25"/>
  <c r="G24" i="25"/>
  <c r="G22" i="25"/>
  <c r="G14" i="25"/>
  <c r="G2" i="25"/>
  <c r="G25" i="39"/>
  <c r="G18" i="39"/>
  <c r="I26" i="24"/>
  <c r="I27" i="24" s="1"/>
  <c r="H43" i="26"/>
  <c r="H42" i="26"/>
  <c r="H41" i="26"/>
  <c r="H40" i="26"/>
  <c r="H39" i="26"/>
  <c r="H38" i="26"/>
  <c r="H44" i="26" s="1"/>
  <c r="H37" i="26"/>
  <c r="H36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2" i="26"/>
  <c r="H32" i="25"/>
  <c r="H27" i="25"/>
  <c r="H24" i="25"/>
  <c r="H15" i="25"/>
  <c r="H10" i="25"/>
  <c r="H2" i="25"/>
  <c r="H25" i="39"/>
  <c r="H26" i="25"/>
  <c r="H18" i="39"/>
  <c r="H9" i="25"/>
  <c r="H21" i="29"/>
  <c r="H12" i="29"/>
  <c r="H21" i="27"/>
  <c r="H29" i="33"/>
  <c r="H25" i="25" s="1"/>
  <c r="H17" i="34"/>
  <c r="H29" i="25"/>
  <c r="H8" i="34"/>
  <c r="H38" i="31"/>
  <c r="H26" i="31"/>
  <c r="H15" i="36"/>
  <c r="H8" i="36"/>
  <c r="H14" i="25"/>
  <c r="H21" i="32"/>
  <c r="H7" i="25" s="1"/>
  <c r="H20" i="33"/>
  <c r="H8" i="25" s="1"/>
  <c r="H20" i="28"/>
  <c r="H20" i="25"/>
  <c r="H10" i="28"/>
  <c r="H3" i="25"/>
  <c r="H27" i="30"/>
  <c r="H22" i="25" s="1"/>
  <c r="H41" i="24"/>
  <c r="H28" i="35"/>
  <c r="H19" i="35"/>
  <c r="I28" i="35"/>
  <c r="I30" i="25"/>
  <c r="I19" i="35"/>
  <c r="I13" i="25"/>
  <c r="I15" i="36"/>
  <c r="I8" i="36"/>
  <c r="I14" i="25" s="1"/>
  <c r="J41" i="24"/>
  <c r="I41" i="24"/>
  <c r="J27" i="24"/>
  <c r="I17" i="34"/>
  <c r="I29" i="25"/>
  <c r="I8" i="34"/>
  <c r="I12" i="25" s="1"/>
  <c r="I29" i="33"/>
  <c r="I25" i="25"/>
  <c r="J21" i="32"/>
  <c r="I21" i="32"/>
  <c r="I7" i="25"/>
  <c r="J38" i="31"/>
  <c r="I38" i="31"/>
  <c r="I26" i="31"/>
  <c r="I6" i="25"/>
  <c r="I15" i="26"/>
  <c r="I16" i="26"/>
  <c r="I27" i="30"/>
  <c r="I22" i="25"/>
  <c r="I20" i="30"/>
  <c r="I5" i="25" s="1"/>
  <c r="I21" i="29"/>
  <c r="I21" i="25" s="1"/>
  <c r="I12" i="29"/>
  <c r="I20" i="28"/>
  <c r="I20" i="25"/>
  <c r="I10" i="28"/>
  <c r="I3" i="25" s="1"/>
  <c r="I21" i="27"/>
  <c r="I2" i="25" s="1"/>
  <c r="I43" i="26"/>
  <c r="I42" i="26"/>
  <c r="I41" i="26"/>
  <c r="I40" i="26"/>
  <c r="I39" i="26"/>
  <c r="I38" i="26"/>
  <c r="I37" i="26"/>
  <c r="I44" i="26" s="1"/>
  <c r="I36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4" i="26"/>
  <c r="I13" i="26"/>
  <c r="I12" i="26"/>
  <c r="I11" i="26"/>
  <c r="I10" i="26"/>
  <c r="I9" i="26"/>
  <c r="I8" i="26"/>
  <c r="I7" i="26"/>
  <c r="I6" i="26"/>
  <c r="I5" i="26"/>
  <c r="I4" i="26"/>
  <c r="I3" i="26"/>
  <c r="I2" i="26"/>
  <c r="I32" i="25"/>
  <c r="I31" i="25"/>
  <c r="I27" i="25"/>
  <c r="I24" i="25"/>
  <c r="I15" i="25"/>
  <c r="I10" i="25"/>
  <c r="I19" i="33"/>
  <c r="I31" i="26"/>
  <c r="I25" i="39"/>
  <c r="I26" i="25" s="1"/>
  <c r="I18" i="39"/>
  <c r="I9" i="25" s="1"/>
  <c r="S4" i="26"/>
  <c r="R4" i="26"/>
  <c r="Q4" i="26"/>
  <c r="P4" i="26"/>
  <c r="O4" i="26"/>
  <c r="N4" i="26"/>
  <c r="M4" i="26"/>
  <c r="L4" i="26"/>
  <c r="L29" i="33"/>
  <c r="L25" i="25"/>
  <c r="M29" i="33"/>
  <c r="M25" i="25"/>
  <c r="L43" i="26"/>
  <c r="L42" i="26"/>
  <c r="L41" i="26"/>
  <c r="L40" i="26"/>
  <c r="L39" i="26"/>
  <c r="L38" i="26"/>
  <c r="L44" i="26" s="1"/>
  <c r="L37" i="26"/>
  <c r="L36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3" i="26"/>
  <c r="L2" i="26"/>
  <c r="L32" i="26" s="1"/>
  <c r="L17" i="34"/>
  <c r="L29" i="25" s="1"/>
  <c r="L8" i="34"/>
  <c r="L12" i="25"/>
  <c r="L15" i="36"/>
  <c r="L31" i="25" s="1"/>
  <c r="L8" i="36"/>
  <c r="L14" i="25" s="1"/>
  <c r="N30" i="26"/>
  <c r="O30" i="26"/>
  <c r="P30" i="26"/>
  <c r="M30" i="26"/>
  <c r="L25" i="39"/>
  <c r="L26" i="25" s="1"/>
  <c r="L18" i="39"/>
  <c r="L9" i="25"/>
  <c r="L38" i="31"/>
  <c r="L23" i="25" s="1"/>
  <c r="L26" i="31"/>
  <c r="L6" i="25"/>
  <c r="L21" i="27"/>
  <c r="L2" i="25"/>
  <c r="L27" i="24"/>
  <c r="L20" i="33"/>
  <c r="L32" i="25"/>
  <c r="L27" i="25"/>
  <c r="L15" i="25"/>
  <c r="L10" i="25"/>
  <c r="L28" i="35"/>
  <c r="L30" i="25"/>
  <c r="L19" i="35"/>
  <c r="L27" i="30"/>
  <c r="L22" i="25"/>
  <c r="L20" i="30"/>
  <c r="L5" i="25" s="1"/>
  <c r="L20" i="28"/>
  <c r="L20" i="25"/>
  <c r="L10" i="28"/>
  <c r="L3" i="25"/>
  <c r="L41" i="24"/>
  <c r="L21" i="29"/>
  <c r="L21" i="25"/>
  <c r="L12" i="29"/>
  <c r="L26" i="32"/>
  <c r="L24" i="25"/>
  <c r="L21" i="32"/>
  <c r="L7" i="25" s="1"/>
  <c r="M8" i="36"/>
  <c r="M14" i="25" s="1"/>
  <c r="M11" i="36"/>
  <c r="M15" i="36"/>
  <c r="M31" i="25"/>
  <c r="P43" i="26"/>
  <c r="O43" i="26"/>
  <c r="N43" i="26"/>
  <c r="P42" i="26"/>
  <c r="P44" i="26" s="1"/>
  <c r="O42" i="26"/>
  <c r="N42" i="26"/>
  <c r="P41" i="26"/>
  <c r="O41" i="26"/>
  <c r="N41" i="26"/>
  <c r="P40" i="26"/>
  <c r="O40" i="26"/>
  <c r="N40" i="26"/>
  <c r="P39" i="26"/>
  <c r="O39" i="26"/>
  <c r="N39" i="26"/>
  <c r="P38" i="26"/>
  <c r="O38" i="26"/>
  <c r="N38" i="26"/>
  <c r="P37" i="26"/>
  <c r="O37" i="26"/>
  <c r="N37" i="26"/>
  <c r="P36" i="26"/>
  <c r="O36" i="26"/>
  <c r="O44" i="26" s="1"/>
  <c r="N36" i="26"/>
  <c r="N44" i="26" s="1"/>
  <c r="M24" i="26"/>
  <c r="M17" i="26"/>
  <c r="M27" i="24"/>
  <c r="M31" i="26"/>
  <c r="M29" i="26"/>
  <c r="M28" i="26"/>
  <c r="M27" i="26"/>
  <c r="M26" i="26"/>
  <c r="M25" i="26"/>
  <c r="M23" i="26"/>
  <c r="M22" i="26"/>
  <c r="M21" i="26"/>
  <c r="M20" i="26"/>
  <c r="M19" i="26"/>
  <c r="M18" i="26"/>
  <c r="M16" i="26"/>
  <c r="M15" i="26"/>
  <c r="M14" i="26"/>
  <c r="M13" i="26"/>
  <c r="M12" i="26"/>
  <c r="M11" i="26"/>
  <c r="M10" i="26"/>
  <c r="M9" i="26"/>
  <c r="M8" i="26"/>
  <c r="M7" i="26"/>
  <c r="M6" i="26"/>
  <c r="M5" i="26"/>
  <c r="M3" i="26"/>
  <c r="M32" i="26" s="1"/>
  <c r="M2" i="26"/>
  <c r="M26" i="32"/>
  <c r="M24" i="25"/>
  <c r="M21" i="32"/>
  <c r="M7" i="25" s="1"/>
  <c r="M26" i="31"/>
  <c r="M6" i="25"/>
  <c r="R43" i="26"/>
  <c r="Q43" i="26"/>
  <c r="R39" i="26"/>
  <c r="Q39" i="26"/>
  <c r="Q38" i="31"/>
  <c r="Q23" i="25" s="1"/>
  <c r="P38" i="31"/>
  <c r="P23" i="25"/>
  <c r="O38" i="31"/>
  <c r="O23" i="25" s="1"/>
  <c r="N38" i="31"/>
  <c r="N23" i="25"/>
  <c r="M38" i="31"/>
  <c r="M23" i="25" s="1"/>
  <c r="R23" i="25"/>
  <c r="M21" i="29"/>
  <c r="M21" i="25"/>
  <c r="M12" i="29"/>
  <c r="M4" i="25" s="1"/>
  <c r="N41" i="24"/>
  <c r="M41" i="24"/>
  <c r="M17" i="34"/>
  <c r="M29" i="25"/>
  <c r="M8" i="34"/>
  <c r="M12" i="25"/>
  <c r="M21" i="27"/>
  <c r="M2" i="25" s="1"/>
  <c r="M25" i="39"/>
  <c r="M26" i="25"/>
  <c r="M18" i="39"/>
  <c r="M9" i="25"/>
  <c r="M27" i="30"/>
  <c r="M22" i="25"/>
  <c r="M20" i="30"/>
  <c r="M10" i="28"/>
  <c r="M3" i="25"/>
  <c r="M20" i="28"/>
  <c r="M20" i="25" s="1"/>
  <c r="M42" i="26"/>
  <c r="M41" i="26"/>
  <c r="M40" i="26"/>
  <c r="M38" i="26"/>
  <c r="M37" i="26"/>
  <c r="M36" i="26"/>
  <c r="M32" i="25"/>
  <c r="M27" i="25"/>
  <c r="M15" i="25"/>
  <c r="M10" i="25"/>
  <c r="M5" i="25"/>
  <c r="M19" i="35"/>
  <c r="M13" i="25" s="1"/>
  <c r="M22" i="35"/>
  <c r="M11" i="34"/>
  <c r="M12" i="41"/>
  <c r="M21" i="39"/>
  <c r="N18" i="39"/>
  <c r="N9" i="25"/>
  <c r="N21" i="39"/>
  <c r="N25" i="39"/>
  <c r="N26" i="25"/>
  <c r="M23" i="33"/>
  <c r="N20" i="33"/>
  <c r="N8" i="25"/>
  <c r="N23" i="33"/>
  <c r="N29" i="33"/>
  <c r="N25" i="25" s="1"/>
  <c r="M24" i="32"/>
  <c r="M29" i="31"/>
  <c r="M23" i="30"/>
  <c r="M15" i="29"/>
  <c r="M14" i="28"/>
  <c r="M35" i="26"/>
  <c r="M19" i="25"/>
  <c r="M30" i="24"/>
  <c r="N29" i="26"/>
  <c r="N28" i="26"/>
  <c r="N27" i="26"/>
  <c r="N25" i="26"/>
  <c r="N23" i="26"/>
  <c r="N22" i="26"/>
  <c r="N21" i="26"/>
  <c r="N20" i="26"/>
  <c r="N19" i="26"/>
  <c r="N16" i="26"/>
  <c r="N13" i="26"/>
  <c r="N8" i="26"/>
  <c r="N7" i="26"/>
  <c r="N5" i="26"/>
  <c r="N2" i="26"/>
  <c r="O31" i="26"/>
  <c r="P31" i="26"/>
  <c r="Q31" i="26"/>
  <c r="R31" i="26"/>
  <c r="S31" i="26"/>
  <c r="N17" i="34"/>
  <c r="N29" i="25"/>
  <c r="N8" i="34"/>
  <c r="N12" i="25" s="1"/>
  <c r="N15" i="36"/>
  <c r="N31" i="25"/>
  <c r="N8" i="36"/>
  <c r="N14" i="25" s="1"/>
  <c r="N19" i="37"/>
  <c r="N32" i="25"/>
  <c r="N12" i="37"/>
  <c r="N15" i="25" s="1"/>
  <c r="N21" i="29"/>
  <c r="N21" i="25"/>
  <c r="N12" i="29"/>
  <c r="N4" i="25" s="1"/>
  <c r="S24" i="26"/>
  <c r="R24" i="26"/>
  <c r="Q24" i="26"/>
  <c r="P24" i="26"/>
  <c r="O24" i="26"/>
  <c r="S26" i="26"/>
  <c r="R26" i="26"/>
  <c r="Q26" i="26"/>
  <c r="P26" i="26"/>
  <c r="O26" i="26"/>
  <c r="R30" i="26"/>
  <c r="Q30" i="26"/>
  <c r="N35" i="26"/>
  <c r="N21" i="32"/>
  <c r="N7" i="25"/>
  <c r="N26" i="32"/>
  <c r="N24" i="25"/>
  <c r="N27" i="25"/>
  <c r="N10" i="25"/>
  <c r="N15" i="37"/>
  <c r="N11" i="36"/>
  <c r="N11" i="34"/>
  <c r="N12" i="41"/>
  <c r="N24" i="32"/>
  <c r="N15" i="29"/>
  <c r="N20" i="30"/>
  <c r="N5" i="25"/>
  <c r="N27" i="30"/>
  <c r="N22" i="25" s="1"/>
  <c r="N33" i="25" s="1"/>
  <c r="N23" i="30"/>
  <c r="N10" i="28"/>
  <c r="N3" i="25" s="1"/>
  <c r="N20" i="28"/>
  <c r="N20" i="25"/>
  <c r="N14" i="28"/>
  <c r="N19" i="25"/>
  <c r="N30" i="24"/>
  <c r="N29" i="31"/>
  <c r="N28" i="35"/>
  <c r="N30" i="25" s="1"/>
  <c r="N19" i="35"/>
  <c r="N13" i="25"/>
  <c r="N22" i="35"/>
  <c r="N21" i="27"/>
  <c r="N2" i="25" s="1"/>
  <c r="N27" i="24"/>
  <c r="V41" i="24"/>
  <c r="U41" i="24"/>
  <c r="T41" i="24"/>
  <c r="S41" i="24"/>
  <c r="R41" i="24"/>
  <c r="Q41" i="24"/>
  <c r="R27" i="25"/>
  <c r="Q27" i="25"/>
  <c r="P27" i="25"/>
  <c r="O27" i="25"/>
  <c r="S10" i="25"/>
  <c r="R10" i="25"/>
  <c r="Q10" i="25"/>
  <c r="Q2" i="25"/>
  <c r="P10" i="25"/>
  <c r="O10" i="25"/>
  <c r="O29" i="33"/>
  <c r="O25" i="25" s="1"/>
  <c r="P41" i="24"/>
  <c r="O41" i="24"/>
  <c r="P29" i="26"/>
  <c r="P28" i="26"/>
  <c r="P27" i="26"/>
  <c r="P25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P5" i="26"/>
  <c r="P3" i="26"/>
  <c r="P2" i="26"/>
  <c r="P32" i="26" s="1"/>
  <c r="O23" i="26"/>
  <c r="O19" i="26"/>
  <c r="O18" i="26"/>
  <c r="O17" i="26"/>
  <c r="O15" i="26"/>
  <c r="O14" i="26"/>
  <c r="O13" i="26"/>
  <c r="O12" i="26"/>
  <c r="O11" i="26"/>
  <c r="O29" i="26"/>
  <c r="O28" i="26"/>
  <c r="O27" i="26"/>
  <c r="O25" i="26"/>
  <c r="O22" i="26"/>
  <c r="O21" i="26"/>
  <c r="O20" i="26"/>
  <c r="O16" i="26"/>
  <c r="O10" i="26"/>
  <c r="O9" i="26"/>
  <c r="O8" i="26"/>
  <c r="O7" i="26"/>
  <c r="O6" i="26"/>
  <c r="O5" i="26"/>
  <c r="O3" i="26"/>
  <c r="O32" i="26" s="1"/>
  <c r="O2" i="26"/>
  <c r="O17" i="34"/>
  <c r="O29" i="25"/>
  <c r="O8" i="34"/>
  <c r="O12" i="25" s="1"/>
  <c r="O19" i="35"/>
  <c r="O13" i="25"/>
  <c r="O28" i="35"/>
  <c r="O30" i="25" s="1"/>
  <c r="O15" i="36"/>
  <c r="O31" i="25"/>
  <c r="O8" i="36"/>
  <c r="O14" i="25" s="1"/>
  <c r="O19" i="37"/>
  <c r="O32" i="25"/>
  <c r="O12" i="37"/>
  <c r="O15" i="25" s="1"/>
  <c r="O25" i="39"/>
  <c r="O26" i="25"/>
  <c r="O18" i="39"/>
  <c r="O9" i="25" s="1"/>
  <c r="O20" i="33"/>
  <c r="O8" i="25"/>
  <c r="O26" i="32"/>
  <c r="O24" i="25" s="1"/>
  <c r="O21" i="32"/>
  <c r="O7" i="25"/>
  <c r="O27" i="30"/>
  <c r="O22" i="25" s="1"/>
  <c r="O26" i="31"/>
  <c r="O6" i="25"/>
  <c r="O20" i="30"/>
  <c r="O5" i="25" s="1"/>
  <c r="O21" i="29"/>
  <c r="O21" i="25"/>
  <c r="O12" i="29"/>
  <c r="O4" i="25" s="1"/>
  <c r="O20" i="28"/>
  <c r="O20" i="25"/>
  <c r="O10" i="28"/>
  <c r="O3" i="25" s="1"/>
  <c r="O21" i="27"/>
  <c r="O2" i="25"/>
  <c r="O27" i="24"/>
  <c r="Q29" i="33"/>
  <c r="Q25" i="25"/>
  <c r="P29" i="33"/>
  <c r="P25" i="25"/>
  <c r="P21" i="27"/>
  <c r="P2" i="25" s="1"/>
  <c r="P17" i="34"/>
  <c r="P29" i="25"/>
  <c r="P8" i="34"/>
  <c r="P12" i="25"/>
  <c r="P26" i="32"/>
  <c r="P24" i="25"/>
  <c r="P21" i="32"/>
  <c r="P7" i="25" s="1"/>
  <c r="P20" i="33"/>
  <c r="P8" i="25"/>
  <c r="Q25" i="39"/>
  <c r="Q26" i="25"/>
  <c r="P25" i="39"/>
  <c r="P26" i="25"/>
  <c r="P18" i="39"/>
  <c r="P9" i="25" s="1"/>
  <c r="P27" i="24"/>
  <c r="P26" i="31"/>
  <c r="P6" i="25" s="1"/>
  <c r="P20" i="28"/>
  <c r="P20" i="25"/>
  <c r="P10" i="28"/>
  <c r="P3" i="25" s="1"/>
  <c r="P15" i="36"/>
  <c r="P31" i="25"/>
  <c r="P8" i="36"/>
  <c r="P14" i="25" s="1"/>
  <c r="P19" i="37"/>
  <c r="P32" i="25"/>
  <c r="P12" i="37"/>
  <c r="P15" i="25" s="1"/>
  <c r="P20" i="30"/>
  <c r="P5" i="25"/>
  <c r="P27" i="30"/>
  <c r="P22" i="25" s="1"/>
  <c r="P33" i="25" s="1"/>
  <c r="P28" i="35"/>
  <c r="P30" i="25"/>
  <c r="P19" i="35"/>
  <c r="P13" i="25" s="1"/>
  <c r="P21" i="29"/>
  <c r="P21" i="25"/>
  <c r="P12" i="29"/>
  <c r="P4" i="25" s="1"/>
  <c r="P16" i="25" s="1"/>
  <c r="Q29" i="26"/>
  <c r="Q28" i="26"/>
  <c r="Q27" i="26"/>
  <c r="Q25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6" i="26"/>
  <c r="Q5" i="26"/>
  <c r="Q32" i="26" s="1"/>
  <c r="Q3" i="26"/>
  <c r="Q2" i="26"/>
  <c r="Q20" i="28"/>
  <c r="Q20" i="25"/>
  <c r="Q10" i="28"/>
  <c r="Q3" i="25" s="1"/>
  <c r="Q18" i="39"/>
  <c r="Q9" i="25"/>
  <c r="S29" i="26"/>
  <c r="S28" i="26"/>
  <c r="S27" i="26"/>
  <c r="S25" i="26"/>
  <c r="S23" i="26"/>
  <c r="S22" i="26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5" i="26"/>
  <c r="S3" i="26"/>
  <c r="S2" i="26"/>
  <c r="R23" i="26"/>
  <c r="R19" i="26"/>
  <c r="R18" i="26"/>
  <c r="R17" i="26"/>
  <c r="R15" i="26"/>
  <c r="R14" i="26"/>
  <c r="R13" i="26"/>
  <c r="R12" i="26"/>
  <c r="R11" i="26"/>
  <c r="R3" i="26"/>
  <c r="Q27" i="24"/>
  <c r="S42" i="26"/>
  <c r="S41" i="26"/>
  <c r="S40" i="26"/>
  <c r="S39" i="26"/>
  <c r="S38" i="26"/>
  <c r="S37" i="26"/>
  <c r="S36" i="26"/>
  <c r="S44" i="26" s="1"/>
  <c r="R42" i="26"/>
  <c r="R44" i="26" s="1"/>
  <c r="R41" i="26"/>
  <c r="R40" i="26"/>
  <c r="R38" i="26"/>
  <c r="R37" i="26"/>
  <c r="R36" i="26"/>
  <c r="R29" i="26"/>
  <c r="R28" i="26"/>
  <c r="R27" i="26"/>
  <c r="R25" i="26"/>
  <c r="R22" i="26"/>
  <c r="R21" i="26"/>
  <c r="R20" i="26"/>
  <c r="R16" i="26"/>
  <c r="R10" i="26"/>
  <c r="R9" i="26"/>
  <c r="R8" i="26"/>
  <c r="R7" i="26"/>
  <c r="R6" i="26"/>
  <c r="R5" i="26"/>
  <c r="R2" i="26"/>
  <c r="Q42" i="26"/>
  <c r="Q41" i="26"/>
  <c r="Q40" i="26"/>
  <c r="Q38" i="26"/>
  <c r="Q44" i="26" s="1"/>
  <c r="Q37" i="26"/>
  <c r="Q36" i="26"/>
  <c r="Q21" i="29"/>
  <c r="Q21" i="25"/>
  <c r="Q12" i="29"/>
  <c r="Q4" i="25"/>
  <c r="Q27" i="30"/>
  <c r="Q22" i="25"/>
  <c r="Q20" i="30"/>
  <c r="Q5" i="25" s="1"/>
  <c r="Q17" i="34"/>
  <c r="Q29" i="25"/>
  <c r="Q8" i="34"/>
  <c r="Q12" i="25"/>
  <c r="Q26" i="31"/>
  <c r="Q6" i="25"/>
  <c r="Q26" i="32"/>
  <c r="Q24" i="25" s="1"/>
  <c r="Q21" i="32"/>
  <c r="Q7" i="25"/>
  <c r="Q20" i="33"/>
  <c r="Q8" i="25"/>
  <c r="Q28" i="35"/>
  <c r="Q30" i="25"/>
  <c r="Q19" i="35"/>
  <c r="Q13" i="25" s="1"/>
  <c r="Q15" i="36"/>
  <c r="Q31" i="25"/>
  <c r="Q8" i="36"/>
  <c r="Q14" i="25"/>
  <c r="Q19" i="37"/>
  <c r="Q32" i="25"/>
  <c r="Q12" i="37"/>
  <c r="Q15" i="25" s="1"/>
  <c r="R26" i="31"/>
  <c r="R6" i="25"/>
  <c r="R25" i="39"/>
  <c r="R26" i="25"/>
  <c r="R19" i="35"/>
  <c r="R13" i="25"/>
  <c r="R17" i="34"/>
  <c r="R29" i="25" s="1"/>
  <c r="R8" i="34"/>
  <c r="R12" i="25"/>
  <c r="R21" i="29"/>
  <c r="R21" i="25"/>
  <c r="R12" i="29"/>
  <c r="R4" i="25"/>
  <c r="R20" i="33"/>
  <c r="R8" i="25" s="1"/>
  <c r="R28" i="35"/>
  <c r="R30" i="25"/>
  <c r="R27" i="24"/>
  <c r="R19" i="37"/>
  <c r="R32" i="25"/>
  <c r="R12" i="37"/>
  <c r="R15" i="25" s="1"/>
  <c r="R15" i="36"/>
  <c r="R31" i="25"/>
  <c r="R8" i="36"/>
  <c r="R14" i="25" s="1"/>
  <c r="R18" i="39"/>
  <c r="R9" i="25"/>
  <c r="R29" i="33"/>
  <c r="R25" i="25" s="1"/>
  <c r="R26" i="32"/>
  <c r="R24" i="25"/>
  <c r="R21" i="32"/>
  <c r="R7" i="25" s="1"/>
  <c r="R27" i="30"/>
  <c r="R22" i="25"/>
  <c r="R20" i="30"/>
  <c r="R5" i="25" s="1"/>
  <c r="R20" i="28"/>
  <c r="R20" i="25"/>
  <c r="R33" i="25" s="1"/>
  <c r="R10" i="28"/>
  <c r="R3" i="25" s="1"/>
  <c r="R21" i="27"/>
  <c r="R2" i="25"/>
  <c r="V20" i="28"/>
  <c r="U20" i="28"/>
  <c r="T20" i="28"/>
  <c r="S20" i="28"/>
  <c r="V10" i="28"/>
  <c r="U10" i="28"/>
  <c r="T20" i="33"/>
  <c r="U20" i="33"/>
  <c r="S20" i="33"/>
  <c r="S8" i="25" s="1"/>
  <c r="V20" i="33"/>
  <c r="V19" i="37"/>
  <c r="U19" i="37"/>
  <c r="T19" i="37"/>
  <c r="S19" i="37"/>
  <c r="V12" i="37"/>
  <c r="U12" i="37"/>
  <c r="T12" i="37"/>
  <c r="S12" i="37"/>
  <c r="S15" i="25"/>
  <c r="V15" i="36"/>
  <c r="U15" i="36"/>
  <c r="T15" i="36"/>
  <c r="S15" i="36"/>
  <c r="V8" i="36"/>
  <c r="U8" i="36"/>
  <c r="T8" i="36"/>
  <c r="S8" i="36"/>
  <c r="S14" i="25"/>
  <c r="V29" i="33"/>
  <c r="U29" i="33"/>
  <c r="T29" i="33"/>
  <c r="S29" i="33"/>
  <c r="V27" i="30"/>
  <c r="V20" i="30"/>
  <c r="U19" i="30"/>
  <c r="U20" i="30"/>
  <c r="S26" i="30"/>
  <c r="S27" i="30"/>
  <c r="V21" i="29"/>
  <c r="U21" i="29"/>
  <c r="S21" i="29"/>
  <c r="S17" i="35"/>
  <c r="S30" i="26"/>
  <c r="S25" i="39"/>
  <c r="S18" i="39"/>
  <c r="S9" i="25"/>
  <c r="V25" i="39"/>
  <c r="U25" i="39"/>
  <c r="T25" i="39"/>
  <c r="V18" i="39"/>
  <c r="U18" i="39"/>
  <c r="T18" i="39"/>
  <c r="V28" i="35"/>
  <c r="U28" i="35"/>
  <c r="T28" i="35"/>
  <c r="S28" i="35"/>
  <c r="V19" i="35"/>
  <c r="U19" i="35"/>
  <c r="T19" i="35"/>
  <c r="V17" i="34"/>
  <c r="U17" i="34"/>
  <c r="T17" i="34"/>
  <c r="S17" i="34"/>
  <c r="V8" i="34"/>
  <c r="U8" i="34"/>
  <c r="T8" i="34"/>
  <c r="S8" i="34"/>
  <c r="S12" i="25"/>
  <c r="V26" i="32"/>
  <c r="U26" i="32"/>
  <c r="T26" i="32"/>
  <c r="S26" i="32"/>
  <c r="V21" i="32"/>
  <c r="U21" i="32"/>
  <c r="T21" i="32"/>
  <c r="S21" i="32"/>
  <c r="S7" i="25" s="1"/>
  <c r="T38" i="31"/>
  <c r="S38" i="31"/>
  <c r="T26" i="31"/>
  <c r="S26" i="31"/>
  <c r="S6" i="25" s="1"/>
  <c r="T27" i="30"/>
  <c r="U24" i="30"/>
  <c r="U27" i="30" s="1"/>
  <c r="T20" i="30"/>
  <c r="S20" i="30"/>
  <c r="S5" i="25"/>
  <c r="V12" i="29"/>
  <c r="U12" i="29"/>
  <c r="T16" i="25"/>
  <c r="T12" i="29"/>
  <c r="S12" i="29"/>
  <c r="S4" i="25"/>
  <c r="V21" i="27"/>
  <c r="U21" i="27"/>
  <c r="T21" i="27"/>
  <c r="S21" i="27"/>
  <c r="S2" i="25"/>
  <c r="V33" i="25"/>
  <c r="U33" i="25"/>
  <c r="T33" i="25"/>
  <c r="S33" i="25"/>
  <c r="V16" i="25"/>
  <c r="U16" i="25"/>
  <c r="V27" i="24"/>
  <c r="U27" i="24"/>
  <c r="T27" i="24"/>
  <c r="S27" i="24"/>
  <c r="T10" i="28"/>
  <c r="S10" i="28"/>
  <c r="S3" i="25"/>
  <c r="N17" i="26"/>
  <c r="N9" i="26"/>
  <c r="N26" i="26"/>
  <c r="N12" i="26"/>
  <c r="N24" i="26"/>
  <c r="N18" i="26"/>
  <c r="N6" i="26"/>
  <c r="N10" i="26"/>
  <c r="N3" i="26"/>
  <c r="N14" i="26"/>
  <c r="N31" i="26"/>
  <c r="N11" i="26"/>
  <c r="N26" i="31"/>
  <c r="N6" i="25"/>
  <c r="N15" i="26"/>
  <c r="M20" i="33"/>
  <c r="M8" i="25" s="1"/>
  <c r="M43" i="26"/>
  <c r="M39" i="26"/>
  <c r="M28" i="35"/>
  <c r="M30" i="25" s="1"/>
  <c r="L4" i="25"/>
  <c r="L8" i="25"/>
  <c r="L13" i="25"/>
  <c r="S19" i="35"/>
  <c r="S13" i="25"/>
  <c r="I20" i="33"/>
  <c r="I8" i="25"/>
  <c r="I23" i="25"/>
  <c r="S43" i="26"/>
  <c r="I4" i="25"/>
  <c r="H12" i="25"/>
  <c r="H23" i="25"/>
  <c r="H6" i="25"/>
  <c r="H31" i="25"/>
  <c r="H30" i="25"/>
  <c r="H13" i="25"/>
  <c r="H4" i="25"/>
  <c r="H21" i="25"/>
  <c r="G23" i="25"/>
  <c r="G12" i="25"/>
  <c r="G8" i="25"/>
  <c r="G25" i="25"/>
  <c r="G44" i="26"/>
  <c r="G9" i="25"/>
  <c r="F25" i="25"/>
  <c r="D27" i="24" l="1"/>
  <c r="B27" i="24"/>
  <c r="F31" i="25"/>
  <c r="B31" i="25" s="1"/>
  <c r="D15" i="36"/>
  <c r="B15" i="36"/>
  <c r="D8" i="36"/>
  <c r="B8" i="36"/>
  <c r="D21" i="32"/>
  <c r="B21" i="32"/>
  <c r="D41" i="24"/>
  <c r="B41" i="24"/>
  <c r="D25" i="39"/>
  <c r="B25" i="39"/>
  <c r="B9" i="25"/>
  <c r="D21" i="26"/>
  <c r="B21" i="26"/>
  <c r="D18" i="39"/>
  <c r="B18" i="39"/>
  <c r="D25" i="26"/>
  <c r="B25" i="26"/>
  <c r="D7" i="26"/>
  <c r="B7" i="26"/>
  <c r="D36" i="26"/>
  <c r="B36" i="26"/>
  <c r="D29" i="33"/>
  <c r="B29" i="33"/>
  <c r="D25" i="25"/>
  <c r="B25" i="25"/>
  <c r="D41" i="26"/>
  <c r="B41" i="26"/>
  <c r="D2" i="26"/>
  <c r="B2" i="26"/>
  <c r="F8" i="25"/>
  <c r="D20" i="33"/>
  <c r="B20" i="33"/>
  <c r="D20" i="26"/>
  <c r="B20" i="26"/>
  <c r="D28" i="26"/>
  <c r="B28" i="26"/>
  <c r="D22" i="26"/>
  <c r="B22" i="26"/>
  <c r="D38" i="31"/>
  <c r="B38" i="31"/>
  <c r="D9" i="26"/>
  <c r="B9" i="26"/>
  <c r="B6" i="25"/>
  <c r="D6" i="25"/>
  <c r="D26" i="31"/>
  <c r="B26" i="31"/>
  <c r="D37" i="26"/>
  <c r="B37" i="26"/>
  <c r="D38" i="26"/>
  <c r="B38" i="26"/>
  <c r="D17" i="34"/>
  <c r="B17" i="34"/>
  <c r="D8" i="34"/>
  <c r="B8" i="34"/>
  <c r="F12" i="25"/>
  <c r="D22" i="25"/>
  <c r="B22" i="25"/>
  <c r="D27" i="30"/>
  <c r="B27" i="30"/>
  <c r="D16" i="26"/>
  <c r="B16" i="26"/>
  <c r="D11" i="26"/>
  <c r="B11" i="26"/>
  <c r="D20" i="30"/>
  <c r="B20" i="30"/>
  <c r="F5" i="25"/>
  <c r="D21" i="29"/>
  <c r="B21" i="29"/>
  <c r="F21" i="25"/>
  <c r="D24" i="26"/>
  <c r="B24" i="26"/>
  <c r="D12" i="29"/>
  <c r="B12" i="29"/>
  <c r="D27" i="26"/>
  <c r="B27" i="26"/>
  <c r="D29" i="26"/>
  <c r="B29" i="26"/>
  <c r="F4" i="25"/>
  <c r="D28" i="35"/>
  <c r="B28" i="35"/>
  <c r="D30" i="25"/>
  <c r="B30" i="25"/>
  <c r="D17" i="26"/>
  <c r="B17" i="26"/>
  <c r="F13" i="25"/>
  <c r="D19" i="35"/>
  <c r="B19" i="35"/>
  <c r="D4" i="26"/>
  <c r="B4" i="26"/>
  <c r="D12" i="26"/>
  <c r="B12" i="26"/>
  <c r="D26" i="26"/>
  <c r="B26" i="26"/>
  <c r="D30" i="26"/>
  <c r="B30" i="26"/>
  <c r="D15" i="26"/>
  <c r="B15" i="26"/>
  <c r="D23" i="26"/>
  <c r="B23" i="26"/>
  <c r="D20" i="28"/>
  <c r="B20" i="28"/>
  <c r="D39" i="26"/>
  <c r="B39" i="26"/>
  <c r="D40" i="26"/>
  <c r="B40" i="26"/>
  <c r="F20" i="25"/>
  <c r="F44" i="26"/>
  <c r="B44" i="26" s="1"/>
  <c r="D43" i="26"/>
  <c r="B43" i="26"/>
  <c r="B3" i="25"/>
  <c r="D3" i="25"/>
  <c r="D18" i="26"/>
  <c r="B18" i="26"/>
  <c r="F32" i="26"/>
  <c r="B32" i="26" s="1"/>
  <c r="D3" i="26"/>
  <c r="B3" i="26"/>
  <c r="D19" i="26"/>
  <c r="B19" i="26"/>
  <c r="D10" i="26"/>
  <c r="B10" i="26"/>
  <c r="D13" i="26"/>
  <c r="B13" i="26"/>
  <c r="D14" i="26"/>
  <c r="B14" i="26"/>
  <c r="D10" i="28"/>
  <c r="B10" i="28"/>
  <c r="D31" i="26"/>
  <c r="B31" i="26"/>
  <c r="D8" i="26"/>
  <c r="B8" i="26"/>
  <c r="O16" i="25"/>
  <c r="N32" i="26"/>
  <c r="N16" i="25"/>
  <c r="L16" i="25"/>
  <c r="G33" i="25"/>
  <c r="G7" i="25"/>
  <c r="H32" i="26"/>
  <c r="M33" i="25"/>
  <c r="H16" i="25"/>
  <c r="G6" i="25"/>
  <c r="R32" i="26"/>
  <c r="S32" i="26"/>
  <c r="L33" i="25"/>
  <c r="I32" i="26"/>
  <c r="I33" i="25"/>
  <c r="G20" i="30"/>
  <c r="G30" i="26"/>
  <c r="S16" i="25"/>
  <c r="R16" i="25"/>
  <c r="O33" i="25"/>
  <c r="M44" i="26"/>
  <c r="M16" i="25"/>
  <c r="Q16" i="25"/>
  <c r="F23" i="25"/>
  <c r="G32" i="26"/>
  <c r="Q33" i="25"/>
  <c r="I16" i="25"/>
  <c r="H33" i="25"/>
  <c r="F26" i="25"/>
  <c r="G13" i="25"/>
  <c r="F29" i="25"/>
  <c r="G27" i="24"/>
  <c r="B26" i="25" l="1"/>
  <c r="D8" i="25"/>
  <c r="B8" i="25"/>
  <c r="D23" i="25"/>
  <c r="B23" i="25"/>
  <c r="B29" i="25"/>
  <c r="D29" i="25"/>
  <c r="B12" i="25"/>
  <c r="D12" i="25"/>
  <c r="D5" i="25"/>
  <c r="B5" i="25"/>
  <c r="D21" i="25"/>
  <c r="B21" i="25"/>
  <c r="B4" i="25"/>
  <c r="D4" i="25"/>
  <c r="D13" i="25"/>
  <c r="B13" i="25"/>
  <c r="F16" i="25"/>
  <c r="B16" i="25" s="1"/>
  <c r="B20" i="25"/>
  <c r="D20" i="25"/>
  <c r="G5" i="25"/>
  <c r="F33" i="25"/>
  <c r="B33" i="25" s="1"/>
  <c r="G16" i="25" l="1"/>
</calcChain>
</file>

<file path=xl/sharedStrings.xml><?xml version="1.0" encoding="utf-8"?>
<sst xmlns="http://schemas.openxmlformats.org/spreadsheetml/2006/main" count="552" uniqueCount="187">
  <si>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</si>
  <si>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</si>
  <si>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</si>
  <si>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</si>
  <si>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</si>
  <si>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</si>
  <si>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</si>
  <si>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</si>
  <si>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</si>
  <si>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</si>
  <si>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</si>
  <si>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</si>
  <si>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</si>
  <si>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</si>
  <si>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</si>
  <si>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</si>
  <si>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</si>
  <si>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</si>
  <si>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</si>
  <si>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Stayman</t>
  </si>
  <si>
    <t>France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</si>
  <si>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</si>
  <si>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</si>
  <si>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</si>
  <si>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</si>
  <si>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</si>
  <si>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</si>
  <si>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</si>
  <si>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</si>
  <si>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</si>
  <si>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</si>
  <si>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</si>
  <si>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</si>
  <si>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</si>
  <si>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</si>
  <si>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</si>
  <si>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</si>
  <si>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</si>
  <si>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</si>
  <si>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</si>
  <si>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</si>
  <si>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</si>
  <si>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</si>
  <si>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</si>
  <si>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</si>
  <si>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</si>
  <si>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</si>
  <si>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</si>
  <si>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</si>
  <si>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</si>
  <si>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</si>
  <si>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</si>
  <si>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</si>
  <si>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</si>
  <si>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</si>
  <si>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</si>
  <si>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</si>
  <si>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</si>
  <si>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</si>
  <si>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</si>
  <si>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</si>
  <si>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</si>
  <si>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</si>
  <si>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</si>
  <si>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</si>
  <si>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</si>
  <si>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</si>
  <si>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</si>
  <si>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</si>
  <si>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</si>
  <si>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</si>
  <si>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</si>
  <si>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</si>
  <si>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</si>
  <si>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</si>
  <si>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</si>
  <si>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</si>
  <si>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</si>
  <si>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</si>
  <si>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</si>
  <si>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</si>
  <si>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</si>
  <si>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</si>
  <si>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</si>
  <si>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</si>
  <si>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</si>
  <si>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</si>
  <si>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</si>
  <si>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</si>
  <si>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Guyot</t>
  </si>
  <si>
    <t>Section Nationale Pommes, Section Nationale Poires</t>
  </si>
  <si>
    <t>European situation per variety</t>
  </si>
  <si>
    <t>Variety (Ton)</t>
  </si>
  <si>
    <t>Total</t>
  </si>
  <si>
    <t>Doyenne du comice</t>
  </si>
  <si>
    <t>Reinette</t>
  </si>
  <si>
    <t>AMI</t>
  </si>
  <si>
    <t>Red Jonaprince</t>
  </si>
  <si>
    <t>Other new varieties*</t>
  </si>
  <si>
    <t>Abate Fetel</t>
  </si>
  <si>
    <t>Arlet</t>
  </si>
  <si>
    <t>Kronprinz Rudolf</t>
  </si>
  <si>
    <t>Rubinette</t>
  </si>
  <si>
    <t>Topaz</t>
  </si>
  <si>
    <t>Gloster*</t>
  </si>
  <si>
    <t>* From 2007 Gloster is included in others</t>
  </si>
  <si>
    <t>Doyenne</t>
  </si>
  <si>
    <t>Bellida</t>
  </si>
  <si>
    <t>Pigoen</t>
  </si>
  <si>
    <t>Ingrid Marie</t>
  </si>
  <si>
    <t>Pear Stocks  (Ton)</t>
  </si>
  <si>
    <t>Ariane</t>
  </si>
  <si>
    <t>Belchard/Chantecler</t>
  </si>
  <si>
    <t>Goldrush</t>
  </si>
  <si>
    <t>Honey Crunch</t>
  </si>
  <si>
    <t>Jazz</t>
  </si>
  <si>
    <t>Rouges</t>
  </si>
  <si>
    <t>Reine de renettes</t>
  </si>
  <si>
    <t>Sundowner</t>
  </si>
  <si>
    <t>Tentation</t>
  </si>
  <si>
    <t>Angelys</t>
  </si>
  <si>
    <t>Beurré Hardy</t>
  </si>
  <si>
    <t>Passe Crassane</t>
  </si>
  <si>
    <t>Williams</t>
  </si>
  <si>
    <t>Morgenduft</t>
  </si>
  <si>
    <t>Decana del C.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</si>
  <si>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</si>
  <si>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</si>
  <si>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</si>
  <si>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</si>
  <si>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</si>
  <si>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</si>
  <si>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</si>
  <si>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Boscs Flaschenbirne</t>
  </si>
  <si>
    <t>Gute Luise</t>
  </si>
  <si>
    <t>Jonagold (incl. Jonagored)</t>
  </si>
  <si>
    <t>Other New varieties</t>
  </si>
  <si>
    <t>Doyenne de comice</t>
  </si>
  <si>
    <t>Denmark:</t>
  </si>
  <si>
    <t>DECEMBER</t>
  </si>
  <si>
    <t>Belgium</t>
  </si>
  <si>
    <t>Club varieties</t>
  </si>
  <si>
    <t>Evelina</t>
  </si>
  <si>
    <t>Choupette</t>
  </si>
  <si>
    <t>Renette</t>
  </si>
  <si>
    <t>Annurca</t>
  </si>
  <si>
    <t>Portugal:</t>
  </si>
  <si>
    <t>ANP - Associação Nacional de Produtores de Pera Rocha</t>
  </si>
  <si>
    <t>Portugal</t>
  </si>
  <si>
    <t>Golden Delicius</t>
  </si>
  <si>
    <t>Rocha</t>
  </si>
  <si>
    <t>Doyenne du Comice</t>
  </si>
  <si>
    <t>Concorde</t>
  </si>
  <si>
    <t xml:space="preserve">* Other new varieties: Ariane, Belgica, Cameo, Choupette, Diwa, Evelina, Greenstar, Goldrush, Honey Crunch, Jazz, Junami, Kanzi, Kiku, Mairac, Rubens, Tentation (temptation), Wellant, ... </t>
  </si>
  <si>
    <t>AFRUCAT</t>
  </si>
  <si>
    <t>Bohemica</t>
  </si>
  <si>
    <t>Lucasova</t>
  </si>
  <si>
    <t>Ligol</t>
  </si>
  <si>
    <t>Honeycrisp</t>
  </si>
  <si>
    <t>Durondeau</t>
  </si>
  <si>
    <t>Williams*</t>
  </si>
  <si>
    <t>*separate category since 2015</t>
  </si>
  <si>
    <t>** From 12/2014 Cox's is included in others</t>
  </si>
  <si>
    <t>Cox**</t>
  </si>
  <si>
    <t>Forelle*</t>
  </si>
  <si>
    <t>* added as of 2016 as a seperate category</t>
  </si>
  <si>
    <t>Other new varieties</t>
  </si>
  <si>
    <t>United Kingdom**</t>
  </si>
  <si>
    <t>*Rocha pears (Portugal)are published on a different schedule. Next update will be 1/1/2019</t>
  </si>
  <si>
    <t>** As of the 2017/2018 season, the UK works with a different methodology, which is why the figures are not comparable.</t>
  </si>
  <si>
    <t>Portugal*</t>
  </si>
  <si>
    <t>*Rocha pears are published on a different schedule. Next update will be 1/1/2019</t>
  </si>
  <si>
    <t>British Apples &amp; Pears</t>
  </si>
  <si>
    <t xml:space="preserve">Figures per variety are just an estimation </t>
  </si>
  <si>
    <t>Cosmic Crisp</t>
  </si>
  <si>
    <t>Slovakia</t>
  </si>
  <si>
    <t>Beurre Alexander Lucas**</t>
  </si>
  <si>
    <t>* From 2010 Durondeau is no longer included in others</t>
  </si>
  <si>
    <t>** From 2021-2022 Beurre Alexander Lucas is no longer included in others</t>
  </si>
  <si>
    <t>Moved 2022</t>
  </si>
  <si>
    <t>42-lb bushels to MT factor</t>
  </si>
  <si>
    <t>*** Starting from the 2022-2023 season, Italian pears work with a different methodology, which is why the figures are not comparable with previous years.</t>
  </si>
  <si>
    <t>Italy***</t>
  </si>
  <si>
    <t>Starting from the 2022-2023 season, Italian pears work with a different methodology, which is why the figures are not comparable with previous years.</t>
  </si>
  <si>
    <t>%2023/2022</t>
  </si>
  <si>
    <t>Moved 2023</t>
  </si>
  <si>
    <t>Overview Northern Hemisphere apple and pear stocks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</si>
</sst>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Modern"/>
      <family val="3"/>
      <charset val="255"/>
    </font>
    <font>
      <b/>
      <sz val="10"/>
      <name val="Arial"/>
      <family val="2"/>
      <charset val="238"/>
    </font>
    <font>
      <sz val="10"/>
      <name val="ArialMT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179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0" fillId="0" borderId="1" xfId="0" applyNumberFormat="1" applyBorder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1" fillId="2" borderId="3" xfId="0" applyFont="1" applyFill="1" applyBorder="1"/>
    <xf numFmtId="0" fontId="1" fillId="3" borderId="4" xfId="0" applyFont="1" applyFill="1" applyBorder="1"/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6" xfId="0" applyNumberFormat="1" applyBorder="1"/>
    <xf numFmtId="0" fontId="0" fillId="2" borderId="7" xfId="0" applyFill="1" applyBorder="1"/>
    <xf numFmtId="0" fontId="1" fillId="2" borderId="7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164" fontId="0" fillId="0" borderId="0" xfId="0" applyNumberFormat="1"/>
    <xf numFmtId="3" fontId="0" fillId="0" borderId="8" xfId="0" applyNumberFormat="1" applyBorder="1"/>
    <xf numFmtId="3" fontId="1" fillId="0" borderId="8" xfId="0" applyNumberFormat="1" applyFont="1" applyBorder="1"/>
    <xf numFmtId="0" fontId="3" fillId="0" borderId="0" xfId="1" applyAlignment="1">
      <alignment horizontal="center"/>
    </xf>
    <xf numFmtId="0" fontId="3" fillId="0" borderId="0" xfId="1"/>
    <xf numFmtId="0" fontId="1" fillId="4" borderId="3" xfId="1" applyFont="1" applyFill="1" applyBorder="1"/>
    <xf numFmtId="14" fontId="1" fillId="0" borderId="4" xfId="1" applyNumberFormat="1" applyFont="1" applyBorder="1" applyAlignment="1">
      <alignment horizontal="center"/>
    </xf>
    <xf numFmtId="0" fontId="3" fillId="4" borderId="2" xfId="1" applyFill="1" applyBorder="1"/>
    <xf numFmtId="164" fontId="3" fillId="5" borderId="0" xfId="1" applyNumberFormat="1" applyFill="1"/>
    <xf numFmtId="3" fontId="3" fillId="0" borderId="0" xfId="1" applyNumberFormat="1"/>
    <xf numFmtId="3" fontId="3" fillId="0" borderId="6" xfId="1" applyNumberFormat="1" applyBorder="1"/>
    <xf numFmtId="0" fontId="3" fillId="4" borderId="7" xfId="1" applyFill="1" applyBorder="1"/>
    <xf numFmtId="164" fontId="3" fillId="5" borderId="1" xfId="1" applyNumberFormat="1" applyFill="1" applyBorder="1"/>
    <xf numFmtId="3" fontId="3" fillId="0" borderId="1" xfId="1" applyNumberFormat="1" applyBorder="1"/>
    <xf numFmtId="3" fontId="3" fillId="0" borderId="8" xfId="1" applyNumberFormat="1" applyBorder="1"/>
    <xf numFmtId="0" fontId="1" fillId="4" borderId="7" xfId="1" applyFont="1" applyFill="1" applyBorder="1"/>
    <xf numFmtId="164" fontId="1" fillId="5" borderId="4" xfId="1" applyNumberFormat="1" applyFont="1" applyFill="1" applyBorder="1"/>
    <xf numFmtId="3" fontId="1" fillId="0" borderId="4" xfId="1" applyNumberFormat="1" applyFont="1" applyBorder="1"/>
    <xf numFmtId="3" fontId="1" fillId="0" borderId="5" xfId="1" applyNumberFormat="1" applyFont="1" applyBorder="1"/>
    <xf numFmtId="3" fontId="0" fillId="0" borderId="0" xfId="0" quotePrefix="1" applyNumberFormat="1"/>
    <xf numFmtId="0" fontId="1" fillId="0" borderId="4" xfId="0" applyFont="1" applyBorder="1" applyAlignment="1">
      <alignment horizontal="center"/>
    </xf>
    <xf numFmtId="14" fontId="1" fillId="0" borderId="4" xfId="1" applyNumberFormat="1" applyFont="1" applyBorder="1"/>
    <xf numFmtId="14" fontId="1" fillId="0" borderId="5" xfId="1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2" borderId="9" xfId="1" applyFill="1" applyBorder="1"/>
    <xf numFmtId="3" fontId="3" fillId="0" borderId="10" xfId="1" applyNumberFormat="1" applyBorder="1"/>
    <xf numFmtId="3" fontId="3" fillId="0" borderId="11" xfId="1" applyNumberFormat="1" applyBorder="1"/>
    <xf numFmtId="0" fontId="3" fillId="2" borderId="2" xfId="1" applyFill="1" applyBorder="1"/>
    <xf numFmtId="164" fontId="3" fillId="3" borderId="0" xfId="1" applyNumberFormat="1" applyFill="1"/>
    <xf numFmtId="0" fontId="3" fillId="2" borderId="7" xfId="1" applyFill="1" applyBorder="1"/>
    <xf numFmtId="164" fontId="3" fillId="3" borderId="1" xfId="1" applyNumberFormat="1" applyFill="1" applyBorder="1"/>
    <xf numFmtId="164" fontId="1" fillId="3" borderId="1" xfId="1" applyNumberFormat="1" applyFont="1" applyFill="1" applyBorder="1"/>
    <xf numFmtId="3" fontId="1" fillId="0" borderId="1" xfId="1" applyNumberFormat="1" applyFont="1" applyBorder="1"/>
    <xf numFmtId="3" fontId="1" fillId="0" borderId="8" xfId="1" applyNumberFormat="1" applyFont="1" applyBorder="1"/>
    <xf numFmtId="164" fontId="3" fillId="0" borderId="0" xfId="1" applyNumberFormat="1"/>
    <xf numFmtId="0" fontId="8" fillId="0" borderId="0" xfId="1" applyFont="1"/>
    <xf numFmtId="0" fontId="1" fillId="0" borderId="0" xfId="1" applyFont="1" applyAlignment="1">
      <alignment vertical="center"/>
    </xf>
    <xf numFmtId="14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3" fontId="1" fillId="0" borderId="0" xfId="1" applyNumberFormat="1" applyFont="1" applyAlignment="1">
      <alignment horizontal="left" vertical="center" wrapText="1"/>
    </xf>
    <xf numFmtId="14" fontId="1" fillId="0" borderId="0" xfId="1" applyNumberFormat="1" applyFont="1"/>
    <xf numFmtId="9" fontId="3" fillId="0" borderId="0" xfId="1" applyNumberFormat="1" applyAlignment="1">
      <alignment horizontal="center"/>
    </xf>
    <xf numFmtId="0" fontId="3" fillId="0" borderId="0" xfId="1" quotePrefix="1"/>
    <xf numFmtId="3" fontId="1" fillId="0" borderId="0" xfId="1" applyNumberFormat="1" applyFont="1"/>
    <xf numFmtId="9" fontId="1" fillId="0" borderId="0" xfId="1" applyNumberFormat="1" applyFont="1" applyAlignment="1">
      <alignment horizontal="center" vertical="center"/>
    </xf>
    <xf numFmtId="3" fontId="3" fillId="0" borderId="0" xfId="1" applyNumberFormat="1" applyAlignment="1">
      <alignment horizontal="center"/>
    </xf>
    <xf numFmtId="0" fontId="3" fillId="0" borderId="1" xfId="1" applyBorder="1"/>
    <xf numFmtId="3" fontId="3" fillId="0" borderId="0" xfId="1" quotePrefix="1" applyNumberFormat="1"/>
    <xf numFmtId="0" fontId="3" fillId="2" borderId="2" xfId="1" quotePrefix="1" applyFill="1" applyBorder="1"/>
    <xf numFmtId="0" fontId="3" fillId="2" borderId="7" xfId="1" quotePrefix="1" applyFill="1" applyBorder="1"/>
    <xf numFmtId="3" fontId="3" fillId="0" borderId="1" xfId="1" quotePrefix="1" applyNumberFormat="1" applyBorder="1"/>
    <xf numFmtId="0" fontId="1" fillId="2" borderId="7" xfId="1" applyFont="1" applyFill="1" applyBorder="1"/>
    <xf numFmtId="0" fontId="4" fillId="0" borderId="0" xfId="1" applyFont="1"/>
    <xf numFmtId="0" fontId="5" fillId="0" borderId="0" xfId="1" applyFont="1"/>
    <xf numFmtId="0" fontId="6" fillId="0" borderId="0" xfId="1" applyFont="1"/>
    <xf numFmtId="164" fontId="3" fillId="3" borderId="0" xfId="1" applyNumberFormat="1" applyFill="1" applyAlignment="1">
      <alignment horizontal="right"/>
    </xf>
    <xf numFmtId="164" fontId="3" fillId="3" borderId="1" xfId="1" applyNumberFormat="1" applyFill="1" applyBorder="1" applyAlignment="1">
      <alignment horizontal="right"/>
    </xf>
    <xf numFmtId="164" fontId="1" fillId="3" borderId="1" xfId="1" applyNumberFormat="1" applyFont="1" applyFill="1" applyBorder="1" applyAlignment="1">
      <alignment horizontal="right"/>
    </xf>
    <xf numFmtId="164" fontId="3" fillId="3" borderId="4" xfId="1" applyNumberFormat="1" applyFill="1" applyBorder="1"/>
    <xf numFmtId="164" fontId="1" fillId="5" borderId="1" xfId="1" applyNumberFormat="1" applyFont="1" applyFill="1" applyBorder="1"/>
    <xf numFmtId="3" fontId="3" fillId="0" borderId="6" xfId="1" applyNumberFormat="1" applyBorder="1" applyAlignment="1">
      <alignment horizontal="right"/>
    </xf>
    <xf numFmtId="3" fontId="1" fillId="0" borderId="8" xfId="1" applyNumberFormat="1" applyFont="1" applyBorder="1" applyAlignment="1">
      <alignment horizontal="right"/>
    </xf>
    <xf numFmtId="3" fontId="3" fillId="0" borderId="0" xfId="1" applyNumberFormat="1" applyAlignment="1">
      <alignment horizontal="right"/>
    </xf>
    <xf numFmtId="3" fontId="3" fillId="0" borderId="1" xfId="1" applyNumberFormat="1" applyBorder="1" applyAlignment="1">
      <alignment horizontal="right"/>
    </xf>
    <xf numFmtId="3" fontId="1" fillId="0" borderId="1" xfId="1" applyNumberFormat="1" applyFont="1" applyBorder="1" applyAlignment="1">
      <alignment horizontal="right"/>
    </xf>
    <xf numFmtId="0" fontId="1" fillId="0" borderId="0" xfId="0" applyFont="1"/>
    <xf numFmtId="0" fontId="3" fillId="4" borderId="9" xfId="1" applyFill="1" applyBorder="1"/>
    <xf numFmtId="164" fontId="3" fillId="5" borderId="10" xfId="1" applyNumberFormat="1" applyFill="1" applyBorder="1"/>
    <xf numFmtId="0" fontId="1" fillId="4" borderId="3" xfId="0" applyFont="1" applyFill="1" applyBorder="1"/>
    <xf numFmtId="0" fontId="3" fillId="4" borderId="2" xfId="0" applyFont="1" applyFill="1" applyBorder="1"/>
    <xf numFmtId="164" fontId="3" fillId="5" borderId="0" xfId="0" applyNumberFormat="1" applyFont="1" applyFill="1"/>
    <xf numFmtId="3" fontId="3" fillId="0" borderId="6" xfId="0" applyNumberFormat="1" applyFont="1" applyBorder="1"/>
    <xf numFmtId="0" fontId="3" fillId="4" borderId="7" xfId="0" applyFont="1" applyFill="1" applyBorder="1"/>
    <xf numFmtId="164" fontId="3" fillId="5" borderId="1" xfId="0" applyNumberFormat="1" applyFont="1" applyFill="1" applyBorder="1"/>
    <xf numFmtId="0" fontId="1" fillId="4" borderId="7" xfId="0" applyFont="1" applyFill="1" applyBorder="1"/>
    <xf numFmtId="164" fontId="1" fillId="5" borderId="1" xfId="0" applyNumberFormat="1" applyFont="1" applyFill="1" applyBorder="1"/>
    <xf numFmtId="3" fontId="1" fillId="0" borderId="5" xfId="0" applyNumberFormat="1" applyFont="1" applyBorder="1"/>
    <xf numFmtId="3" fontId="3" fillId="0" borderId="0" xfId="0" applyNumberFormat="1" applyFont="1"/>
    <xf numFmtId="3" fontId="1" fillId="0" borderId="4" xfId="0" applyNumberFormat="1" applyFont="1" applyBorder="1"/>
    <xf numFmtId="3" fontId="3" fillId="6" borderId="10" xfId="0" applyNumberFormat="1" applyFont="1" applyFill="1" applyBorder="1" applyAlignment="1">
      <alignment horizontal="right"/>
    </xf>
    <xf numFmtId="3" fontId="3" fillId="6" borderId="0" xfId="0" applyNumberFormat="1" applyFont="1" applyFill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3" fontId="3" fillId="7" borderId="0" xfId="1" applyNumberFormat="1" applyFill="1"/>
    <xf numFmtId="3" fontId="3" fillId="7" borderId="1" xfId="1" applyNumberFormat="1" applyFill="1" applyBorder="1"/>
    <xf numFmtId="3" fontId="1" fillId="7" borderId="4" xfId="1" applyNumberFormat="1" applyFont="1" applyFill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1" fillId="0" borderId="1" xfId="0" applyNumberFormat="1" applyFont="1" applyBorder="1"/>
    <xf numFmtId="164" fontId="1" fillId="0" borderId="4" xfId="1" applyNumberFormat="1" applyFont="1" applyBorder="1"/>
    <xf numFmtId="3" fontId="1" fillId="6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/>
    <xf numFmtId="14" fontId="3" fillId="0" borderId="0" xfId="1" applyNumberFormat="1" applyAlignment="1">
      <alignment horizontal="center"/>
    </xf>
    <xf numFmtId="14" fontId="3" fillId="0" borderId="6" xfId="1" applyNumberFormat="1" applyBorder="1" applyAlignment="1">
      <alignment horizontal="center"/>
    </xf>
    <xf numFmtId="3" fontId="0" fillId="0" borderId="0" xfId="0" applyNumberFormat="1" applyAlignment="1">
      <alignment horizontal="right"/>
    </xf>
    <xf numFmtId="0" fontId="1" fillId="8" borderId="4" xfId="0" applyFont="1" applyFill="1" applyBorder="1"/>
    <xf numFmtId="3" fontId="1" fillId="0" borderId="4" xfId="0" applyNumberFormat="1" applyFont="1" applyBorder="1" applyAlignment="1">
      <alignment horizontal="right"/>
    </xf>
    <xf numFmtId="3" fontId="0" fillId="8" borderId="0" xfId="0" applyNumberFormat="1" applyFill="1"/>
    <xf numFmtId="3" fontId="1" fillId="8" borderId="4" xfId="0" applyNumberFormat="1" applyFont="1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164" fontId="1" fillId="8" borderId="4" xfId="1" applyNumberFormat="1" applyFont="1" applyFill="1" applyBorder="1"/>
    <xf numFmtId="164" fontId="3" fillId="8" borderId="0" xfId="1" applyNumberFormat="1" applyFill="1"/>
    <xf numFmtId="14" fontId="3" fillId="0" borderId="0" xfId="0" applyNumberFormat="1" applyFont="1" applyAlignment="1">
      <alignment horizontal="center"/>
    </xf>
    <xf numFmtId="3" fontId="10" fillId="0" borderId="4" xfId="1" applyNumberFormat="1" applyFont="1" applyBorder="1"/>
    <xf numFmtId="3" fontId="1" fillId="0" borderId="4" xfId="1" applyNumberFormat="1" applyFont="1" applyBorder="1" applyAlignment="1">
      <alignment horizontal="right"/>
    </xf>
    <xf numFmtId="164" fontId="3" fillId="8" borderId="0" xfId="0" applyNumberFormat="1" applyFont="1" applyFill="1"/>
    <xf numFmtId="164" fontId="3" fillId="8" borderId="1" xfId="0" applyNumberFormat="1" applyFont="1" applyFill="1" applyBorder="1"/>
    <xf numFmtId="164" fontId="1" fillId="8" borderId="1" xfId="0" applyNumberFormat="1" applyFont="1" applyFill="1" applyBorder="1"/>
    <xf numFmtId="3" fontId="3" fillId="0" borderId="1" xfId="0" applyNumberFormat="1" applyFont="1" applyBorder="1"/>
    <xf numFmtId="3" fontId="3" fillId="8" borderId="0" xfId="1" applyNumberFormat="1" applyFill="1"/>
    <xf numFmtId="3" fontId="1" fillId="8" borderId="4" xfId="1" applyNumberFormat="1" applyFont="1" applyFill="1" applyBorder="1"/>
    <xf numFmtId="3" fontId="3" fillId="8" borderId="1" xfId="1" applyNumberFormat="1" applyFill="1" applyBorder="1"/>
    <xf numFmtId="3" fontId="1" fillId="8" borderId="1" xfId="1" applyNumberFormat="1" applyFont="1" applyFill="1" applyBorder="1"/>
    <xf numFmtId="3" fontId="3" fillId="8" borderId="0" xfId="1" applyNumberFormat="1" applyFill="1" applyAlignment="1">
      <alignment horizontal="right"/>
    </xf>
    <xf numFmtId="3" fontId="1" fillId="8" borderId="1" xfId="1" applyNumberFormat="1" applyFont="1" applyFill="1" applyBorder="1" applyAlignment="1">
      <alignment horizontal="right"/>
    </xf>
    <xf numFmtId="3" fontId="3" fillId="8" borderId="1" xfId="1" applyNumberFormat="1" applyFill="1" applyBorder="1" applyAlignment="1">
      <alignment horizontal="right"/>
    </xf>
    <xf numFmtId="3" fontId="3" fillId="8" borderId="0" xfId="0" applyNumberFormat="1" applyFont="1" applyFill="1"/>
    <xf numFmtId="3" fontId="3" fillId="0" borderId="0" xfId="0" applyNumberFormat="1" applyFont="1" applyAlignment="1">
      <alignment horizontal="right"/>
    </xf>
    <xf numFmtId="14" fontId="1" fillId="0" borderId="4" xfId="0" applyNumberFormat="1" applyFont="1" applyBorder="1"/>
    <xf numFmtId="0" fontId="3" fillId="0" borderId="0" xfId="0" applyFont="1" applyAlignment="1">
      <alignment horizontal="right"/>
    </xf>
    <xf numFmtId="3" fontId="3" fillId="0" borderId="4" xfId="1" applyNumberFormat="1" applyBorder="1"/>
    <xf numFmtId="0" fontId="1" fillId="2" borderId="3" xfId="1" applyFont="1" applyFill="1" applyBorder="1"/>
    <xf numFmtId="164" fontId="1" fillId="3" borderId="4" xfId="1" applyNumberFormat="1" applyFont="1" applyFill="1" applyBorder="1" applyAlignment="1">
      <alignment horizontal="right"/>
    </xf>
    <xf numFmtId="3" fontId="1" fillId="8" borderId="4" xfId="1" applyNumberFormat="1" applyFont="1" applyFill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0" borderId="0" xfId="1" applyNumberFormat="1" applyFont="1" applyAlignment="1">
      <alignment vertical="center"/>
    </xf>
    <xf numFmtId="3" fontId="3" fillId="8" borderId="4" xfId="1" applyNumberFormat="1" applyFill="1" applyBorder="1"/>
    <xf numFmtId="3" fontId="3" fillId="0" borderId="6" xfId="1" quotePrefix="1" applyNumberFormat="1" applyBorder="1"/>
    <xf numFmtId="3" fontId="3" fillId="0" borderId="5" xfId="1" applyNumberFormat="1" applyBorder="1"/>
    <xf numFmtId="0" fontId="0" fillId="2" borderId="7" xfId="0" quotePrefix="1" applyFill="1" applyBorder="1"/>
    <xf numFmtId="3" fontId="11" fillId="0" borderId="0" xfId="0" applyNumberFormat="1" applyFont="1"/>
    <xf numFmtId="3" fontId="2" fillId="0" borderId="0" xfId="0" applyNumberFormat="1" applyFont="1"/>
    <xf numFmtId="3" fontId="12" fillId="0" borderId="0" xfId="0" applyNumberFormat="1" applyFont="1"/>
    <xf numFmtId="14" fontId="1" fillId="9" borderId="4" xfId="0" applyNumberFormat="1" applyFont="1" applyFill="1" applyBorder="1" applyAlignment="1">
      <alignment horizontal="center"/>
    </xf>
    <xf numFmtId="3" fontId="0" fillId="9" borderId="0" xfId="0" applyNumberFormat="1" applyFill="1" applyAlignment="1">
      <alignment horizontal="right"/>
    </xf>
    <xf numFmtId="3" fontId="1" fillId="9" borderId="4" xfId="0" applyNumberFormat="1" applyFont="1" applyFill="1" applyBorder="1" applyAlignment="1">
      <alignment horizontal="right"/>
    </xf>
    <xf numFmtId="3" fontId="0" fillId="9" borderId="0" xfId="0" applyNumberFormat="1" applyFill="1"/>
    <xf numFmtId="3" fontId="0" fillId="9" borderId="1" xfId="0" applyNumberFormat="1" applyFill="1" applyBorder="1"/>
    <xf numFmtId="3" fontId="1" fillId="9" borderId="1" xfId="0" applyNumberFormat="1" applyFont="1" applyFill="1" applyBorder="1"/>
    <xf numFmtId="3" fontId="3" fillId="9" borderId="0" xfId="1" applyNumberFormat="1" applyFill="1" applyAlignment="1">
      <alignment horizontal="right"/>
    </xf>
    <xf numFmtId="3" fontId="1" fillId="9" borderId="4" xfId="1" applyNumberFormat="1" applyFont="1" applyFill="1" applyBorder="1"/>
    <xf numFmtId="3" fontId="3" fillId="9" borderId="0" xfId="1" applyNumberFormat="1" applyFill="1"/>
    <xf numFmtId="3" fontId="3" fillId="9" borderId="0" xfId="0" applyNumberFormat="1" applyFont="1" applyFill="1"/>
    <xf numFmtId="3" fontId="3" fillId="9" borderId="1" xfId="1" applyNumberFormat="1" applyFill="1" applyBorder="1"/>
    <xf numFmtId="3" fontId="1" fillId="9" borderId="1" xfId="1" applyNumberFormat="1" applyFont="1" applyFill="1" applyBorder="1"/>
    <xf numFmtId="3" fontId="3" fillId="9" borderId="0" xfId="1" quotePrefix="1" applyNumberFormat="1" applyFill="1"/>
    <xf numFmtId="3" fontId="3" fillId="9" borderId="0" xfId="0" applyNumberFormat="1" applyFont="1" applyFill="1" applyAlignment="1">
      <alignment horizontal="right"/>
    </xf>
    <xf numFmtId="3" fontId="1" fillId="9" borderId="4" xfId="1" applyNumberFormat="1" applyFont="1" applyFill="1" applyBorder="1" applyAlignment="1">
      <alignment horizontal="right"/>
    </xf>
    <xf numFmtId="3" fontId="3" fillId="9" borderId="1" xfId="1" applyNumberFormat="1" applyFill="1" applyBorder="1" applyAlignment="1">
      <alignment horizontal="right"/>
    </xf>
    <xf numFmtId="3" fontId="1" fillId="9" borderId="1" xfId="1" applyNumberFormat="1" applyFont="1" applyFill="1" applyBorder="1" applyAlignment="1">
      <alignment horizontal="right"/>
    </xf>
    <xf numFmtId="164" fontId="3" fillId="9" borderId="0" xfId="0" applyNumberFormat="1" applyFont="1" applyFill="1"/>
    <xf numFmtId="164" fontId="3" fillId="9" borderId="1" xfId="0" applyNumberFormat="1" applyFont="1" applyFill="1" applyBorder="1"/>
    <xf numFmtId="164" fontId="1" fillId="9" borderId="1" xfId="0" applyNumberFormat="1" applyFont="1" applyFill="1" applyBorder="1"/>
    <xf numFmtId="164" fontId="3" fillId="9" borderId="0" xfId="1" applyNumberFormat="1" applyFill="1"/>
    <xf numFmtId="164" fontId="1" fillId="9" borderId="4" xfId="1" applyNumberFormat="1" applyFont="1" applyFill="1" applyBorder="1"/>
    <xf numFmtId="3" fontId="3" fillId="9" borderId="4" xfId="1" applyNumberFormat="1" applyFill="1" applyBorder="1"/>
  </cellXfs>
  <cellStyles count="5">
    <cellStyle name="Normal" xfId="0" builtinId="0"/>
    <cellStyle name="Normal 2" xfId="1" xr:uid="{00000000-0005-0000-0000-000001000000}"/>
    <cellStyle name="Normale 2" xfId="2" xr:uid="{00000000-0005-0000-0000-000002000000}"/>
    <cellStyle name="Normale_4_uesto_pere" xfId="3" xr:uid="{00000000-0005-0000-0000-000003000000}"/>
    <cellStyle name="Standard_LBNOV94" xfId="4" xr:uid="{00000000-0005-0000-0000-000004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November.xlsx" TargetMode="External"/><Relationship Id="rId1" Type="http://schemas.openxmlformats.org/officeDocument/2006/relationships/externalLinkPath" Target="Stocks%20NH%20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 - country"/>
      <sheetName val="EU - variety"/>
      <sheetName val="EU variety"/>
      <sheetName val="Austria"/>
      <sheetName val="Belgium"/>
      <sheetName val="Czech Republic"/>
      <sheetName val="Denmark"/>
      <sheetName val="Finland"/>
      <sheetName val="France"/>
      <sheetName val="Germany"/>
      <sheetName val="Italy"/>
      <sheetName val="Poland"/>
      <sheetName val="Portugal"/>
      <sheetName val="Slovakia"/>
      <sheetName val="Spain"/>
      <sheetName val="Switzerland"/>
      <sheetName val="Netherlands"/>
      <sheetName val="UK"/>
    </sheetNames>
    <sheetDataSet>
      <sheetData sheetId="0"/>
      <sheetData sheetId="1">
        <row r="2">
          <cell r="C2"/>
          <cell r="D2"/>
        </row>
        <row r="3">
          <cell r="C3">
            <v>4970.1458614315197</v>
          </cell>
          <cell r="D3">
            <v>4716.1595354042402</v>
          </cell>
        </row>
        <row r="4">
          <cell r="C4">
            <v>141829.26406596947</v>
          </cell>
          <cell r="D4">
            <v>100316.48310609156</v>
          </cell>
        </row>
        <row r="5">
          <cell r="C5">
            <v>18280.900141631821</v>
          </cell>
          <cell r="D5">
            <v>23853.187152684121</v>
          </cell>
        </row>
        <row r="6">
          <cell r="C6">
            <v>282073.62831036776</v>
          </cell>
          <cell r="D6">
            <v>242107.89307441504</v>
          </cell>
        </row>
        <row r="7">
          <cell r="C7">
            <v>459303.2367375652</v>
          </cell>
          <cell r="D7">
            <v>413857.78271424508</v>
          </cell>
        </row>
        <row r="8">
          <cell r="C8">
            <v>125365.81783245366</v>
          </cell>
          <cell r="D8">
            <v>83003.672459164372</v>
          </cell>
        </row>
        <row r="9">
          <cell r="C9">
            <v>347911.7915232082</v>
          </cell>
          <cell r="D9">
            <v>210241.2201555435</v>
          </cell>
        </row>
        <row r="10">
          <cell r="C10">
            <v>379832.30222765979</v>
          </cell>
          <cell r="D10">
            <v>206647.06217064755</v>
          </cell>
        </row>
        <row r="11">
          <cell r="C11">
            <v>1843.9346306765999</v>
          </cell>
          <cell r="D11">
            <v>4341.6763962864597</v>
          </cell>
        </row>
        <row r="12">
          <cell r="C12"/>
          <cell r="D12"/>
        </row>
        <row r="13">
          <cell r="C13">
            <v>2030.6332501685999</v>
          </cell>
          <cell r="D13">
            <v>2004.28588376478</v>
          </cell>
        </row>
        <row r="14">
          <cell r="C14">
            <v>23029.122307301881</v>
          </cell>
          <cell r="D14">
            <v>21711.73493623134</v>
          </cell>
        </row>
        <row r="15">
          <cell r="C15">
            <v>1115.9814725736599</v>
          </cell>
          <cell r="D15">
            <v>1185.2695214606399</v>
          </cell>
        </row>
        <row r="16">
          <cell r="C16">
            <v>1072.4883145838401</v>
          </cell>
          <cell r="D16">
            <v>824.82688056383995</v>
          </cell>
        </row>
        <row r="17">
          <cell r="C17"/>
          <cell r="D17"/>
        </row>
        <row r="18">
          <cell r="C18">
            <v>151811.63918173636</v>
          </cell>
          <cell r="D18">
            <v>102413.41341705936</v>
          </cell>
        </row>
        <row r="19">
          <cell r="C19">
            <v>429511.43321115413</v>
          </cell>
          <cell r="D19">
            <v>294325.21084078267</v>
          </cell>
        </row>
        <row r="20">
          <cell r="C20">
            <v>3504.71410545564</v>
          </cell>
          <cell r="D20">
            <v>3754.7568994181397</v>
          </cell>
        </row>
        <row r="21">
          <cell r="C21">
            <v>643.50060910211994</v>
          </cell>
          <cell r="D21">
            <v>660.26538309731995</v>
          </cell>
        </row>
        <row r="22">
          <cell r="C22">
            <v>2454.00094618602</v>
          </cell>
          <cell r="D22">
            <v>2860.9848857990401</v>
          </cell>
        </row>
        <row r="23">
          <cell r="C23">
            <v>411.95621917296</v>
          </cell>
          <cell r="D23">
            <v>350.91720112679997</v>
          </cell>
        </row>
        <row r="24">
          <cell r="C24"/>
          <cell r="D24"/>
        </row>
        <row r="25">
          <cell r="C25">
            <v>1154.1975369309</v>
          </cell>
          <cell r="D25">
            <v>891.48590807429991</v>
          </cell>
        </row>
        <row r="26">
          <cell r="C26">
            <v>292079.39790620975</v>
          </cell>
          <cell r="D26">
            <v>237848.7069865368</v>
          </cell>
        </row>
        <row r="27">
          <cell r="C27">
            <v>2670230.0863915402</v>
          </cell>
          <cell r="D27">
            <v>1957916.9955083963</v>
          </cell>
        </row>
        <row r="31">
          <cell r="C31">
            <v>122197.08</v>
          </cell>
          <cell r="D31">
            <v>128743.22</v>
          </cell>
        </row>
        <row r="32">
          <cell r="C32">
            <v>48946.12</v>
          </cell>
          <cell r="D32">
            <v>26726.46</v>
          </cell>
        </row>
        <row r="33">
          <cell r="C33">
            <v>14852.68</v>
          </cell>
          <cell r="D33">
            <v>13576.52</v>
          </cell>
        </row>
        <row r="34">
          <cell r="C34">
            <v>2421.06</v>
          </cell>
          <cell r="D34">
            <v>1379</v>
          </cell>
        </row>
        <row r="35">
          <cell r="C35">
            <v>300.72000000000003</v>
          </cell>
          <cell r="D35">
            <v>408.36</v>
          </cell>
        </row>
        <row r="36">
          <cell r="C36">
            <v>351.44</v>
          </cell>
          <cell r="D36">
            <v>131.94</v>
          </cell>
        </row>
        <row r="37">
          <cell r="C37">
            <v>851.24</v>
          </cell>
          <cell r="D37">
            <v>254.18</v>
          </cell>
        </row>
        <row r="38">
          <cell r="C38"/>
          <cell r="D38"/>
        </row>
        <row r="39">
          <cell r="C39">
            <v>654.82000000000005</v>
          </cell>
          <cell r="D39">
            <v>797.04</v>
          </cell>
        </row>
        <row r="40">
          <cell r="C40">
            <v>57371.24</v>
          </cell>
          <cell r="D40">
            <v>42628.9</v>
          </cell>
        </row>
        <row r="41">
          <cell r="C41">
            <v>247946.4</v>
          </cell>
          <cell r="D41">
            <v>214645.61999999997</v>
          </cell>
        </row>
      </sheetData>
      <sheetData sheetId="2">
        <row r="2">
          <cell r="C2">
            <v>100148.61111111109</v>
          </cell>
          <cell r="D2">
            <v>130668.84194053209</v>
          </cell>
        </row>
        <row r="3">
          <cell r="C3">
            <v>154087.77450965642</v>
          </cell>
          <cell r="D3">
            <v>143131.78199286488</v>
          </cell>
        </row>
        <row r="4">
          <cell r="C4">
            <v>46831</v>
          </cell>
          <cell r="D4">
            <v>63515</v>
          </cell>
        </row>
        <row r="5">
          <cell r="C5">
            <v>11235</v>
          </cell>
          <cell r="D5">
            <v>13617</v>
          </cell>
        </row>
        <row r="6">
          <cell r="C6">
            <v>0</v>
          </cell>
          <cell r="D6">
            <v>743072</v>
          </cell>
        </row>
        <row r="7">
          <cell r="C7">
            <v>345935</v>
          </cell>
          <cell r="D7">
            <v>433972</v>
          </cell>
        </row>
        <row r="8">
          <cell r="C8">
            <v>1441919.8069151426</v>
          </cell>
          <cell r="D8">
            <v>1448863.787867601</v>
          </cell>
        </row>
        <row r="10">
          <cell r="C10">
            <v>0</v>
          </cell>
          <cell r="D10">
            <v>0</v>
          </cell>
        </row>
        <row r="11">
          <cell r="C11">
            <v>12745.39</v>
          </cell>
          <cell r="D11">
            <v>0</v>
          </cell>
        </row>
        <row r="12">
          <cell r="C12">
            <v>213622.33179700456</v>
          </cell>
          <cell r="D12">
            <v>197616.42752866753</v>
          </cell>
        </row>
        <row r="13">
          <cell r="C13">
            <v>57503</v>
          </cell>
          <cell r="D13">
            <v>64427</v>
          </cell>
        </row>
        <row r="14">
          <cell r="C14">
            <v>131036</v>
          </cell>
          <cell r="D14">
            <v>165092</v>
          </cell>
        </row>
        <row r="15">
          <cell r="C15"/>
          <cell r="D15"/>
        </row>
        <row r="20">
          <cell r="C20">
            <v>321501.63057441078</v>
          </cell>
          <cell r="D20">
            <v>264519.97304762079</v>
          </cell>
        </row>
        <row r="21">
          <cell r="C21">
            <v>2686</v>
          </cell>
          <cell r="D21">
            <v>2976</v>
          </cell>
        </row>
        <row r="22">
          <cell r="C22">
            <v>1098</v>
          </cell>
          <cell r="D22">
            <v>1300</v>
          </cell>
        </row>
        <row r="23">
          <cell r="C23">
            <v>0</v>
          </cell>
          <cell r="D23">
            <v>19005</v>
          </cell>
        </row>
        <row r="24">
          <cell r="C24">
            <v>7456</v>
          </cell>
          <cell r="D24">
            <v>5596</v>
          </cell>
        </row>
        <row r="25">
          <cell r="C25">
            <v>51065.741842972959</v>
          </cell>
          <cell r="D25">
            <v>132379.97251628287</v>
          </cell>
        </row>
        <row r="28">
          <cell r="C28">
            <v>154.95999999999998</v>
          </cell>
          <cell r="D28">
            <v>0</v>
          </cell>
        </row>
        <row r="29">
          <cell r="C29">
            <v>66878.69712788616</v>
          </cell>
          <cell r="D29">
            <v>57340.736746253337</v>
          </cell>
        </row>
        <row r="30">
          <cell r="C30">
            <v>8118</v>
          </cell>
          <cell r="D30">
            <v>10520</v>
          </cell>
        </row>
        <row r="31">
          <cell r="C31">
            <v>271024</v>
          </cell>
          <cell r="D31">
            <v>266017</v>
          </cell>
        </row>
        <row r="32">
          <cell r="C32">
            <v>0</v>
          </cell>
          <cell r="D32">
            <v>0</v>
          </cell>
        </row>
      </sheetData>
      <sheetData sheetId="3"/>
      <sheetData sheetId="4">
        <row r="2">
          <cell r="C2">
            <v>36000</v>
          </cell>
          <cell r="D2">
            <v>35000</v>
          </cell>
        </row>
        <row r="3">
          <cell r="C3">
            <v>22903.027366147908</v>
          </cell>
          <cell r="D3">
            <v>32060.269200257808</v>
          </cell>
        </row>
        <row r="4">
          <cell r="C4">
            <v>91477.434000000008</v>
          </cell>
          <cell r="D4">
            <v>130923.26520813772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246</v>
          </cell>
          <cell r="D8">
            <v>831</v>
          </cell>
        </row>
        <row r="9">
          <cell r="C9">
            <v>18884.343654574452</v>
          </cell>
          <cell r="D9">
            <v>238425</v>
          </cell>
        </row>
        <row r="10">
          <cell r="C10">
            <v>131646.79845905799</v>
          </cell>
          <cell r="D10">
            <v>196349.53844886197</v>
          </cell>
        </row>
        <row r="11">
          <cell r="C11">
            <v>138156.39416873903</v>
          </cell>
          <cell r="D11">
            <v>172925.44540988584</v>
          </cell>
        </row>
        <row r="12">
          <cell r="C12">
            <v>296879.66648571444</v>
          </cell>
          <cell r="D12">
            <v>426660.48516320635</v>
          </cell>
        </row>
        <row r="13">
          <cell r="C13">
            <v>61</v>
          </cell>
          <cell r="D13">
            <v>224</v>
          </cell>
        </row>
        <row r="14">
          <cell r="C14">
            <v>774737.5253770022</v>
          </cell>
          <cell r="D14">
            <v>818611.21978576353</v>
          </cell>
        </row>
        <row r="15">
          <cell r="C15">
            <v>114503.25979347801</v>
          </cell>
          <cell r="D15">
            <v>209399.7076012452</v>
          </cell>
        </row>
        <row r="16">
          <cell r="C16">
            <v>1587</v>
          </cell>
          <cell r="D16">
            <v>3829</v>
          </cell>
        </row>
        <row r="17">
          <cell r="C17">
            <v>8429.4599999999991</v>
          </cell>
          <cell r="D17">
            <v>15819.937402190924</v>
          </cell>
        </row>
        <row r="18">
          <cell r="C18">
            <v>132476.19510815851</v>
          </cell>
          <cell r="D18">
            <v>173154.63804586651</v>
          </cell>
        </row>
        <row r="19">
          <cell r="C19">
            <v>38023.908425846275</v>
          </cell>
          <cell r="D19">
            <v>48275.676232516103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16795.654819034167</v>
          </cell>
          <cell r="D22">
            <v>18388.272499875224</v>
          </cell>
        </row>
        <row r="23">
          <cell r="C23">
            <v>53497.964444444442</v>
          </cell>
          <cell r="D23">
            <v>50310.602034428797</v>
          </cell>
        </row>
        <row r="24">
          <cell r="C24">
            <v>143997.29794626683</v>
          </cell>
          <cell r="D24">
            <v>202949.61566732486</v>
          </cell>
        </row>
        <row r="25">
          <cell r="C25">
            <v>60572.222222222219</v>
          </cell>
          <cell r="D25">
            <v>69769.913928012524</v>
          </cell>
        </row>
        <row r="26">
          <cell r="C26">
            <v>15274.550000000003</v>
          </cell>
          <cell r="D26">
            <v>48215.324999999997</v>
          </cell>
        </row>
        <row r="27">
          <cell r="C27">
            <v>3212</v>
          </cell>
          <cell r="D27">
            <v>3571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25</v>
          </cell>
        </row>
        <row r="30">
          <cell r="C30">
            <v>88297</v>
          </cell>
          <cell r="D30">
            <v>151477</v>
          </cell>
        </row>
        <row r="31">
          <cell r="C31">
            <v>327405.21206222801</v>
          </cell>
          <cell r="D31">
            <v>356779.92770209204</v>
          </cell>
        </row>
        <row r="36">
          <cell r="C36">
            <v>21865.152196003157</v>
          </cell>
          <cell r="D36">
            <v>76410</v>
          </cell>
        </row>
        <row r="37">
          <cell r="C37">
            <v>1761.7350445517473</v>
          </cell>
          <cell r="D37">
            <v>2753.4603526968249</v>
          </cell>
        </row>
        <row r="38">
          <cell r="C38">
            <v>3201.262152648259</v>
          </cell>
          <cell r="D38">
            <v>4373.9951336837212</v>
          </cell>
        </row>
        <row r="39">
          <cell r="C39">
            <v>592617.15364384069</v>
          </cell>
          <cell r="D39">
            <v>534096.33638732252</v>
          </cell>
        </row>
        <row r="40">
          <cell r="C40">
            <v>19025.816901943363</v>
          </cell>
          <cell r="D40">
            <v>21948.461155600009</v>
          </cell>
        </row>
        <row r="41">
          <cell r="C41">
            <v>10053.374679523833</v>
          </cell>
          <cell r="D41">
            <v>15478</v>
          </cell>
        </row>
        <row r="43">
          <cell r="C43">
            <v>81458.53492675873</v>
          </cell>
          <cell r="D43">
            <v>104594.42928085402</v>
          </cell>
        </row>
      </sheetData>
      <sheetData sheetId="5">
        <row r="2">
          <cell r="C2">
            <v>632.77777777777771</v>
          </cell>
          <cell r="D2">
            <v>987.41784037558693</v>
          </cell>
        </row>
        <row r="3">
          <cell r="C3">
            <v>261.11111111111109</v>
          </cell>
          <cell r="D3">
            <v>432.3943661971831</v>
          </cell>
        </row>
        <row r="4">
          <cell r="C4">
            <v>5632.5000000000009</v>
          </cell>
          <cell r="D4">
            <v>10144.053208137715</v>
          </cell>
        </row>
        <row r="5">
          <cell r="C5">
            <v>3855.5555555555557</v>
          </cell>
          <cell r="D5">
            <v>6083.7402190923322</v>
          </cell>
        </row>
        <row r="6">
          <cell r="C6">
            <v>8084.7222222222226</v>
          </cell>
          <cell r="D6">
            <v>8567.6056338028175</v>
          </cell>
        </row>
        <row r="7">
          <cell r="C7">
            <v>1590.2777777777778</v>
          </cell>
          <cell r="D7">
            <v>2606.4006259780908</v>
          </cell>
        </row>
        <row r="8">
          <cell r="C8">
            <v>28681.388888888891</v>
          </cell>
          <cell r="D8">
            <v>34563.489827856029</v>
          </cell>
        </row>
        <row r="9">
          <cell r="C9"/>
          <cell r="D9"/>
        </row>
        <row r="10">
          <cell r="C10">
            <v>24715.277777777777</v>
          </cell>
          <cell r="D10">
            <v>29933.333333333332</v>
          </cell>
        </row>
        <row r="11">
          <cell r="C11">
            <v>938.33333333333337</v>
          </cell>
          <cell r="D11">
            <v>1280.7511737089203</v>
          </cell>
        </row>
        <row r="12">
          <cell r="C12">
            <v>2940</v>
          </cell>
          <cell r="D12">
            <v>5309.9374021909234</v>
          </cell>
        </row>
        <row r="13">
          <cell r="C13">
            <v>2544.1666666666665</v>
          </cell>
          <cell r="D13">
            <v>4965.3364632237872</v>
          </cell>
        </row>
        <row r="14">
          <cell r="C14">
            <v>0</v>
          </cell>
          <cell r="D14">
            <v>0</v>
          </cell>
        </row>
        <row r="15">
          <cell r="C15">
            <v>2176.3888888888891</v>
          </cell>
          <cell r="D15">
            <v>2009.2644757433491</v>
          </cell>
        </row>
        <row r="16">
          <cell r="C16">
            <v>5486.9444444444453</v>
          </cell>
          <cell r="D16">
            <v>6903.3020344287952</v>
          </cell>
        </row>
        <row r="17">
          <cell r="C17">
            <v>2302.2222222222222</v>
          </cell>
          <cell r="D17">
            <v>4454.91392801252</v>
          </cell>
        </row>
        <row r="18">
          <cell r="C18"/>
          <cell r="D18"/>
        </row>
        <row r="19">
          <cell r="C19">
            <v>1793.8888888888887</v>
          </cell>
          <cell r="D19">
            <v>4059.0140845070423</v>
          </cell>
        </row>
        <row r="20">
          <cell r="C20">
            <v>8513.0555555555547</v>
          </cell>
          <cell r="D20">
            <v>8367.8873239436616</v>
          </cell>
        </row>
        <row r="21">
          <cell r="C21">
            <v>100148.61111111109</v>
          </cell>
          <cell r="D21">
            <v>130668.84194053209</v>
          </cell>
        </row>
      </sheetData>
      <sheetData sheetId="6">
        <row r="2">
          <cell r="C2">
            <v>3857.9162550367978</v>
          </cell>
          <cell r="D2">
            <v>4618.8748340606244</v>
          </cell>
        </row>
        <row r="3">
          <cell r="C3"/>
          <cell r="D3"/>
        </row>
        <row r="4">
          <cell r="C4">
            <v>2797.2429035024311</v>
          </cell>
          <cell r="D4">
            <v>1180.798229769629</v>
          </cell>
        </row>
        <row r="5">
          <cell r="C5"/>
          <cell r="D5"/>
        </row>
        <row r="6">
          <cell r="C6">
            <v>17646.871763609608</v>
          </cell>
          <cell r="D6">
            <v>12278.231113875834</v>
          </cell>
        </row>
        <row r="7">
          <cell r="C7">
            <v>71940.988441491834</v>
          </cell>
          <cell r="D7">
            <v>68868.201582642694</v>
          </cell>
        </row>
        <row r="8">
          <cell r="C8">
            <v>23458.908425846275</v>
          </cell>
          <cell r="D8">
            <v>24484.676232516103</v>
          </cell>
        </row>
        <row r="9">
          <cell r="C9">
            <v>34385.846720169488</v>
          </cell>
          <cell r="D9">
            <v>31701</v>
          </cell>
        </row>
        <row r="10">
          <cell r="C10">
            <v>154087.77450965642</v>
          </cell>
          <cell r="D10">
            <v>143131.78199286488</v>
          </cell>
        </row>
        <row r="15">
          <cell r="C15">
            <v>303253.75350474397</v>
          </cell>
          <cell r="D15">
            <v>246354</v>
          </cell>
        </row>
        <row r="16">
          <cell r="C16">
            <v>7215</v>
          </cell>
          <cell r="D16">
            <v>5919.4611556000091</v>
          </cell>
        </row>
        <row r="17">
          <cell r="C17">
            <v>480.86086177974403</v>
          </cell>
          <cell r="D17">
            <v>249</v>
          </cell>
        </row>
        <row r="18">
          <cell r="C18">
            <v>3193</v>
          </cell>
          <cell r="D18">
            <v>3804.5118920207942</v>
          </cell>
        </row>
        <row r="19">
          <cell r="C19">
            <v>7359.0162078870253</v>
          </cell>
          <cell r="D19">
            <v>8193</v>
          </cell>
        </row>
        <row r="20">
          <cell r="C20">
            <v>321501.63057441078</v>
          </cell>
          <cell r="D20">
            <v>264519.97304762079</v>
          </cell>
        </row>
      </sheetData>
      <sheetData sheetId="7">
        <row r="2">
          <cell r="C2">
            <v>4858</v>
          </cell>
          <cell r="D2">
            <v>6189</v>
          </cell>
        </row>
        <row r="3">
          <cell r="C3">
            <v>9491</v>
          </cell>
          <cell r="D3">
            <v>9834</v>
          </cell>
        </row>
        <row r="4">
          <cell r="C4">
            <v>61</v>
          </cell>
          <cell r="D4">
            <v>224</v>
          </cell>
        </row>
        <row r="5">
          <cell r="C5">
            <v>14844</v>
          </cell>
          <cell r="D5">
            <v>15587</v>
          </cell>
        </row>
        <row r="6">
          <cell r="C6">
            <v>3335</v>
          </cell>
          <cell r="D6">
            <v>4911</v>
          </cell>
        </row>
        <row r="7">
          <cell r="C7">
            <v>5280</v>
          </cell>
          <cell r="D7">
            <v>13451</v>
          </cell>
        </row>
        <row r="8">
          <cell r="C8">
            <v>3291</v>
          </cell>
          <cell r="D8">
            <v>3968</v>
          </cell>
        </row>
        <row r="9">
          <cell r="C9">
            <v>1004</v>
          </cell>
          <cell r="D9">
            <v>1076</v>
          </cell>
        </row>
        <row r="10">
          <cell r="C10">
            <v>0</v>
          </cell>
          <cell r="D10">
            <v>25</v>
          </cell>
        </row>
        <row r="11">
          <cell r="C11">
            <v>4667</v>
          </cell>
          <cell r="D11">
            <v>8250</v>
          </cell>
        </row>
        <row r="12">
          <cell r="C12">
            <v>46831</v>
          </cell>
          <cell r="D12">
            <v>63515</v>
          </cell>
        </row>
        <row r="16">
          <cell r="C16">
            <v>1886</v>
          </cell>
          <cell r="D16">
            <v>1806</v>
          </cell>
        </row>
        <row r="17">
          <cell r="C17">
            <v>2</v>
          </cell>
          <cell r="D17">
            <v>320</v>
          </cell>
        </row>
        <row r="18">
          <cell r="C18">
            <v>280</v>
          </cell>
          <cell r="D18">
            <v>184</v>
          </cell>
        </row>
        <row r="19">
          <cell r="C19">
            <v>252</v>
          </cell>
          <cell r="D19">
            <v>437</v>
          </cell>
        </row>
        <row r="20">
          <cell r="C20">
            <v>266</v>
          </cell>
          <cell r="D20">
            <v>229</v>
          </cell>
        </row>
        <row r="21">
          <cell r="C21">
            <v>2686</v>
          </cell>
          <cell r="D21">
            <v>2976</v>
          </cell>
        </row>
      </sheetData>
      <sheetData sheetId="8">
        <row r="2">
          <cell r="C2">
            <v>72</v>
          </cell>
          <cell r="D2">
            <v>76</v>
          </cell>
        </row>
        <row r="3">
          <cell r="C3">
            <v>98</v>
          </cell>
          <cell r="D3">
            <v>135</v>
          </cell>
        </row>
        <row r="4">
          <cell r="C4">
            <v>246</v>
          </cell>
          <cell r="D4">
            <v>375</v>
          </cell>
        </row>
        <row r="5">
          <cell r="C5">
            <v>3410</v>
          </cell>
          <cell r="D5">
            <v>4694</v>
          </cell>
        </row>
        <row r="6">
          <cell r="C6">
            <v>11</v>
          </cell>
          <cell r="D6">
            <v>7</v>
          </cell>
        </row>
        <row r="7">
          <cell r="C7">
            <v>187</v>
          </cell>
          <cell r="D7">
            <v>175</v>
          </cell>
        </row>
        <row r="8">
          <cell r="C8"/>
          <cell r="D8"/>
        </row>
        <row r="9">
          <cell r="C9"/>
          <cell r="D9"/>
        </row>
        <row r="10">
          <cell r="C10">
            <v>484</v>
          </cell>
          <cell r="D10">
            <v>358</v>
          </cell>
        </row>
        <row r="11">
          <cell r="C11">
            <v>5</v>
          </cell>
          <cell r="D11"/>
        </row>
        <row r="12">
          <cell r="C12"/>
          <cell r="D12"/>
        </row>
        <row r="13">
          <cell r="C13">
            <v>11</v>
          </cell>
          <cell r="D13">
            <v>10</v>
          </cell>
        </row>
        <row r="14">
          <cell r="C14"/>
          <cell r="D14">
            <v>744</v>
          </cell>
        </row>
        <row r="15">
          <cell r="C15">
            <v>89</v>
          </cell>
          <cell r="D15">
            <v>90</v>
          </cell>
        </row>
        <row r="16">
          <cell r="C16"/>
          <cell r="D16"/>
        </row>
        <row r="17">
          <cell r="C17"/>
          <cell r="D17"/>
        </row>
        <row r="18">
          <cell r="C18">
            <v>1433</v>
          </cell>
          <cell r="D18">
            <v>2460</v>
          </cell>
        </row>
        <row r="19">
          <cell r="C19">
            <v>5189</v>
          </cell>
          <cell r="D19">
            <v>4493</v>
          </cell>
        </row>
        <row r="20">
          <cell r="C20">
            <v>11235</v>
          </cell>
          <cell r="D20">
            <v>13617</v>
          </cell>
        </row>
        <row r="24">
          <cell r="C24">
            <v>208</v>
          </cell>
          <cell r="D24">
            <v>438</v>
          </cell>
        </row>
        <row r="25">
          <cell r="C25"/>
          <cell r="D25"/>
        </row>
        <row r="26">
          <cell r="C26">
            <v>890</v>
          </cell>
          <cell r="D26">
            <v>862</v>
          </cell>
        </row>
        <row r="27">
          <cell r="C27">
            <v>1098</v>
          </cell>
          <cell r="D27">
            <v>1300</v>
          </cell>
        </row>
      </sheetData>
      <sheetData sheetId="9"/>
      <sheetData sheetId="10">
        <row r="2">
          <cell r="C2"/>
          <cell r="D2">
            <v>9110</v>
          </cell>
        </row>
        <row r="3">
          <cell r="C3"/>
          <cell r="D3">
            <v>28966</v>
          </cell>
        </row>
        <row r="4">
          <cell r="C4"/>
          <cell r="D4">
            <v>5012</v>
          </cell>
        </row>
        <row r="5">
          <cell r="C5"/>
          <cell r="D5">
            <v>20761</v>
          </cell>
        </row>
        <row r="6">
          <cell r="C6"/>
          <cell r="D6"/>
        </row>
        <row r="7">
          <cell r="C7"/>
          <cell r="D7">
            <v>6083</v>
          </cell>
        </row>
        <row r="8">
          <cell r="C8"/>
          <cell r="D8">
            <v>153425</v>
          </cell>
        </row>
        <row r="9">
          <cell r="C9"/>
          <cell r="D9">
            <v>5225</v>
          </cell>
        </row>
        <row r="10">
          <cell r="C10"/>
          <cell r="D10">
            <v>26313</v>
          </cell>
        </row>
        <row r="11">
          <cell r="C11"/>
          <cell r="D11">
            <v>120469</v>
          </cell>
        </row>
        <row r="12">
          <cell r="C12"/>
          <cell r="D12">
            <v>152301</v>
          </cell>
        </row>
        <row r="13">
          <cell r="C13"/>
          <cell r="D13">
            <v>3152</v>
          </cell>
        </row>
        <row r="14">
          <cell r="C14"/>
          <cell r="D14">
            <v>76103</v>
          </cell>
        </row>
        <row r="15">
          <cell r="C15"/>
          <cell r="D15">
            <v>11130</v>
          </cell>
        </row>
        <row r="16">
          <cell r="C16"/>
          <cell r="D16">
            <v>1942</v>
          </cell>
        </row>
        <row r="17">
          <cell r="C17"/>
          <cell r="D17">
            <v>28012</v>
          </cell>
        </row>
        <row r="18">
          <cell r="C18"/>
          <cell r="D18">
            <v>16285</v>
          </cell>
        </row>
        <row r="19">
          <cell r="C19"/>
          <cell r="D19">
            <v>18511</v>
          </cell>
        </row>
        <row r="20">
          <cell r="C20"/>
          <cell r="D20">
            <v>2139</v>
          </cell>
        </row>
        <row r="21">
          <cell r="C21"/>
          <cell r="D21">
            <v>20963</v>
          </cell>
        </row>
        <row r="22">
          <cell r="C22"/>
          <cell r="D22">
            <v>1654</v>
          </cell>
        </row>
        <row r="23">
          <cell r="C23"/>
          <cell r="D23">
            <v>12465</v>
          </cell>
        </row>
        <row r="24">
          <cell r="C24"/>
          <cell r="D24">
            <v>2947</v>
          </cell>
        </row>
        <row r="25">
          <cell r="C25"/>
          <cell r="D25">
            <v>20104</v>
          </cell>
        </row>
        <row r="26">
          <cell r="C26"/>
          <cell r="D26">
            <v>743072</v>
          </cell>
        </row>
        <row r="30">
          <cell r="C30"/>
          <cell r="D30">
            <v>3860</v>
          </cell>
        </row>
        <row r="31">
          <cell r="C31"/>
          <cell r="D31"/>
        </row>
        <row r="32">
          <cell r="C32"/>
          <cell r="D32">
            <v>7516</v>
          </cell>
        </row>
        <row r="33">
          <cell r="C33"/>
          <cell r="D33">
            <v>2775</v>
          </cell>
        </row>
        <row r="34">
          <cell r="C34"/>
          <cell r="D34"/>
        </row>
        <row r="35">
          <cell r="C35"/>
          <cell r="D35">
            <v>1015</v>
          </cell>
        </row>
        <row r="36">
          <cell r="C36"/>
          <cell r="D36">
            <v>1848</v>
          </cell>
        </row>
        <row r="37">
          <cell r="C37"/>
          <cell r="D37">
            <v>1991</v>
          </cell>
        </row>
        <row r="38">
          <cell r="C38"/>
          <cell r="D38">
            <v>19005</v>
          </cell>
        </row>
      </sheetData>
      <sheetData sheetId="11">
        <row r="2">
          <cell r="C2">
            <v>12141</v>
          </cell>
          <cell r="D2">
            <v>12384</v>
          </cell>
        </row>
        <row r="3">
          <cell r="C3">
            <v>42277</v>
          </cell>
          <cell r="D3">
            <v>55425</v>
          </cell>
        </row>
        <row r="4">
          <cell r="C4"/>
          <cell r="D4"/>
        </row>
        <row r="5">
          <cell r="C5">
            <v>68816</v>
          </cell>
          <cell r="D5">
            <v>110240</v>
          </cell>
        </row>
        <row r="6">
          <cell r="C6">
            <v>5611</v>
          </cell>
          <cell r="D6">
            <v>8082</v>
          </cell>
        </row>
        <row r="7">
          <cell r="C7">
            <v>36302</v>
          </cell>
          <cell r="D7">
            <v>37999</v>
          </cell>
        </row>
        <row r="8">
          <cell r="C8"/>
          <cell r="D8"/>
        </row>
        <row r="9">
          <cell r="C9">
            <v>3613</v>
          </cell>
          <cell r="D9">
            <v>4090</v>
          </cell>
        </row>
        <row r="10">
          <cell r="C10">
            <v>1103</v>
          </cell>
          <cell r="D10">
            <v>3471</v>
          </cell>
        </row>
        <row r="11">
          <cell r="C11">
            <v>1616</v>
          </cell>
          <cell r="D11">
            <v>3229</v>
          </cell>
        </row>
        <row r="12">
          <cell r="C12"/>
          <cell r="D12"/>
        </row>
        <row r="13">
          <cell r="C13">
            <v>12515</v>
          </cell>
          <cell r="D13">
            <v>21074</v>
          </cell>
        </row>
        <row r="14">
          <cell r="C14">
            <v>14565</v>
          </cell>
          <cell r="D14">
            <v>23047</v>
          </cell>
        </row>
        <row r="15">
          <cell r="C15">
            <v>8031</v>
          </cell>
          <cell r="D15">
            <v>8343</v>
          </cell>
        </row>
        <row r="16">
          <cell r="C16">
            <v>58270</v>
          </cell>
          <cell r="D16">
            <v>65315</v>
          </cell>
        </row>
        <row r="17">
          <cell r="C17">
            <v>2208</v>
          </cell>
          <cell r="D17">
            <v>2495</v>
          </cell>
        </row>
        <row r="18">
          <cell r="C18">
            <v>2051</v>
          </cell>
          <cell r="D18">
            <v>3123</v>
          </cell>
        </row>
        <row r="19">
          <cell r="C19">
            <v>51346</v>
          </cell>
          <cell r="D19">
            <v>56759</v>
          </cell>
        </row>
        <row r="20">
          <cell r="C20">
            <v>25470</v>
          </cell>
          <cell r="D20">
            <v>18896</v>
          </cell>
        </row>
        <row r="21">
          <cell r="C21">
            <v>345935</v>
          </cell>
          <cell r="D21">
            <v>433972</v>
          </cell>
        </row>
        <row r="25">
          <cell r="C25">
            <v>7456</v>
          </cell>
          <cell r="D25">
            <v>5596</v>
          </cell>
        </row>
        <row r="26">
          <cell r="C26">
            <v>7456</v>
          </cell>
          <cell r="D26">
            <v>5596</v>
          </cell>
        </row>
      </sheetData>
      <sheetData sheetId="12">
        <row r="2">
          <cell r="C2">
            <v>36000</v>
          </cell>
          <cell r="D2">
            <v>35000</v>
          </cell>
        </row>
        <row r="3">
          <cell r="C3">
            <v>30638.214</v>
          </cell>
          <cell r="D3">
            <v>29213.212</v>
          </cell>
        </row>
        <row r="4">
          <cell r="C4">
            <v>18884.343654574452</v>
          </cell>
          <cell r="D4">
            <v>85000</v>
          </cell>
        </row>
        <row r="5">
          <cell r="C5"/>
          <cell r="D5"/>
        </row>
        <row r="6">
          <cell r="C6">
            <v>113859.94744030938</v>
          </cell>
          <cell r="D6">
            <v>118715.89204602648</v>
          </cell>
        </row>
        <row r="7">
          <cell r="C7">
            <v>178914.3190287842</v>
          </cell>
          <cell r="D7">
            <v>178580.50818375029</v>
          </cell>
        </row>
        <row r="8">
          <cell r="C8"/>
          <cell r="D8"/>
        </row>
        <row r="9">
          <cell r="C9">
            <v>568015.20995763782</v>
          </cell>
          <cell r="D9">
            <v>474296.72173884721</v>
          </cell>
        </row>
        <row r="10">
          <cell r="C10">
            <v>87970.203472466674</v>
          </cell>
          <cell r="D10">
            <v>112969.77858509567</v>
          </cell>
        </row>
        <row r="11">
          <cell r="C11"/>
          <cell r="D11"/>
        </row>
        <row r="12">
          <cell r="C12">
            <v>1561</v>
          </cell>
          <cell r="D12">
            <v>2005.1</v>
          </cell>
        </row>
        <row r="13">
          <cell r="C13"/>
          <cell r="D13"/>
        </row>
        <row r="14">
          <cell r="C14">
            <v>16795.654819034167</v>
          </cell>
          <cell r="D14">
            <v>18388.272499875224</v>
          </cell>
        </row>
        <row r="15">
          <cell r="C15">
            <v>38843.879999999997</v>
          </cell>
          <cell r="D15">
            <v>34632.300000000003</v>
          </cell>
        </row>
        <row r="16">
          <cell r="C16">
            <v>127110.61445899976</v>
          </cell>
          <cell r="D16">
            <v>168338.90225406797</v>
          </cell>
        </row>
        <row r="17">
          <cell r="C17">
            <v>15246.550000000003</v>
          </cell>
          <cell r="D17">
            <v>24994.324999999997</v>
          </cell>
        </row>
        <row r="18">
          <cell r="C18"/>
          <cell r="D18"/>
        </row>
        <row r="19">
          <cell r="C19">
            <v>208079.87008333599</v>
          </cell>
          <cell r="D19">
            <v>166728.77555993799</v>
          </cell>
        </row>
        <row r="20">
          <cell r="C20">
            <v>1441919.8069151426</v>
          </cell>
          <cell r="D20">
            <v>1448863.787867601</v>
          </cell>
        </row>
        <row r="24">
          <cell r="C24">
            <v>21865.152196003157</v>
          </cell>
          <cell r="D24">
            <v>76410</v>
          </cell>
        </row>
        <row r="25">
          <cell r="C25">
            <v>4893.0806957435161</v>
          </cell>
          <cell r="D25">
            <v>10030</v>
          </cell>
        </row>
        <row r="26">
          <cell r="C26">
            <v>1076.816901943361</v>
          </cell>
          <cell r="D26">
            <v>2440</v>
          </cell>
        </row>
        <row r="27">
          <cell r="C27">
            <v>4827.3746795238339</v>
          </cell>
          <cell r="D27">
            <v>9760</v>
          </cell>
        </row>
        <row r="28">
          <cell r="C28">
            <v>18403.31736975909</v>
          </cell>
          <cell r="D28">
            <v>33739.972516282884</v>
          </cell>
        </row>
        <row r="29">
          <cell r="C29">
            <v>51065.741842972959</v>
          </cell>
          <cell r="D29">
            <v>132379.97251628287</v>
          </cell>
        </row>
      </sheetData>
      <sheetData sheetId="13">
        <row r="2">
          <cell r="C2"/>
          <cell r="D2"/>
        </row>
        <row r="3">
          <cell r="C3"/>
          <cell r="D3"/>
        </row>
        <row r="4">
          <cell r="C4"/>
          <cell r="D4"/>
        </row>
        <row r="5">
          <cell r="C5"/>
          <cell r="D5"/>
        </row>
        <row r="6">
          <cell r="C6"/>
          <cell r="D6"/>
        </row>
        <row r="7">
          <cell r="C7"/>
          <cell r="D7"/>
        </row>
        <row r="8">
          <cell r="C8"/>
          <cell r="D8"/>
        </row>
        <row r="9">
          <cell r="C9"/>
          <cell r="D9"/>
        </row>
        <row r="10">
          <cell r="C10"/>
          <cell r="D10"/>
        </row>
        <row r="11">
          <cell r="C11"/>
          <cell r="D11"/>
        </row>
        <row r="12">
          <cell r="C12"/>
          <cell r="D12"/>
        </row>
        <row r="13">
          <cell r="C13"/>
          <cell r="D13"/>
        </row>
        <row r="14">
          <cell r="C14"/>
          <cell r="D14"/>
        </row>
        <row r="15">
          <cell r="C15"/>
          <cell r="D15"/>
        </row>
        <row r="16">
          <cell r="C16"/>
          <cell r="D16"/>
        </row>
        <row r="17">
          <cell r="C17"/>
          <cell r="D17"/>
        </row>
        <row r="18">
          <cell r="C18"/>
          <cell r="D18"/>
        </row>
        <row r="22">
          <cell r="C22"/>
          <cell r="D22"/>
        </row>
        <row r="23">
          <cell r="C23"/>
          <cell r="D23"/>
        </row>
        <row r="24">
          <cell r="C24"/>
          <cell r="D24"/>
        </row>
        <row r="25">
          <cell r="C25"/>
          <cell r="D25"/>
        </row>
      </sheetData>
      <sheetData sheetId="14"/>
      <sheetData sheetId="15">
        <row r="2">
          <cell r="D2"/>
        </row>
        <row r="3">
          <cell r="D3"/>
        </row>
        <row r="4">
          <cell r="D4"/>
        </row>
        <row r="5">
          <cell r="D5"/>
        </row>
        <row r="6">
          <cell r="D6"/>
        </row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5">
          <cell r="D15"/>
        </row>
        <row r="16">
          <cell r="D16"/>
        </row>
        <row r="17">
          <cell r="D17"/>
        </row>
        <row r="18">
          <cell r="D18"/>
        </row>
      </sheetData>
      <sheetData sheetId="16">
        <row r="2">
          <cell r="C2">
            <v>16714.328950651867</v>
          </cell>
          <cell r="D2">
            <v>17201.152737881297</v>
          </cell>
        </row>
        <row r="3">
          <cell r="C3">
            <v>18045.528568041318</v>
          </cell>
          <cell r="D3">
            <v>23288.4871516001</v>
          </cell>
        </row>
        <row r="4">
          <cell r="C4">
            <v>127871.9558779771</v>
          </cell>
          <cell r="D4">
            <v>114652.9335997071</v>
          </cell>
        </row>
        <row r="5">
          <cell r="C5">
            <v>25164.722987678011</v>
          </cell>
          <cell r="D5">
            <v>18614.177842440615</v>
          </cell>
        </row>
        <row r="6">
          <cell r="C6">
            <v>13595.683487267066</v>
          </cell>
          <cell r="D6">
            <v>12131.713413256875</v>
          </cell>
        </row>
        <row r="7">
          <cell r="C7">
            <v>12230.111925389196</v>
          </cell>
          <cell r="D7">
            <v>11727.962783781555</v>
          </cell>
        </row>
        <row r="8">
          <cell r="C8">
            <v>213622.33179700456</v>
          </cell>
          <cell r="D8">
            <v>197616.42752866753</v>
          </cell>
        </row>
        <row r="12">
          <cell r="C12">
            <v>1761.7350445517473</v>
          </cell>
          <cell r="D12">
            <v>2753.4603526968249</v>
          </cell>
        </row>
        <row r="13">
          <cell r="C13">
            <v>3201.262152648259</v>
          </cell>
          <cell r="D13">
            <v>4373.9951336837212</v>
          </cell>
        </row>
        <row r="14">
          <cell r="C14">
            <v>53228.619443353295</v>
          </cell>
          <cell r="D14">
            <v>43158.336387322444</v>
          </cell>
        </row>
        <row r="15">
          <cell r="C15">
            <v>1238.0445107463374</v>
          </cell>
          <cell r="D15">
            <v>1035.1920581852492</v>
          </cell>
        </row>
        <row r="16">
          <cell r="C16">
            <v>7449.0359765865169</v>
          </cell>
          <cell r="D16">
            <v>6019.7528143650998</v>
          </cell>
        </row>
        <row r="17">
          <cell r="C17">
            <v>66878.69712788616</v>
          </cell>
          <cell r="D17">
            <v>57340.736746253337</v>
          </cell>
        </row>
      </sheetData>
      <sheetData sheetId="17">
        <row r="2">
          <cell r="C2">
            <v>1161</v>
          </cell>
          <cell r="D2">
            <v>2336</v>
          </cell>
        </row>
        <row r="3">
          <cell r="C3">
            <v>7834</v>
          </cell>
          <cell r="D3">
            <v>9191</v>
          </cell>
        </row>
        <row r="4">
          <cell r="C4">
            <v>0</v>
          </cell>
          <cell r="D4">
            <v>456</v>
          </cell>
        </row>
        <row r="5">
          <cell r="C5">
            <v>27</v>
          </cell>
          <cell r="D5">
            <v>82</v>
          </cell>
        </row>
        <row r="6">
          <cell r="C6">
            <v>22408</v>
          </cell>
          <cell r="D6">
            <v>21751</v>
          </cell>
        </row>
        <row r="7">
          <cell r="C7">
            <v>22</v>
          </cell>
          <cell r="D7">
            <v>68</v>
          </cell>
        </row>
        <row r="8">
          <cell r="C8">
            <v>10591</v>
          </cell>
          <cell r="D8">
            <v>10419</v>
          </cell>
        </row>
        <row r="9">
          <cell r="C9">
            <v>430</v>
          </cell>
          <cell r="D9">
            <v>432</v>
          </cell>
        </row>
        <row r="10">
          <cell r="C10">
            <v>226</v>
          </cell>
          <cell r="D10">
            <v>428</v>
          </cell>
        </row>
        <row r="11">
          <cell r="C11">
            <v>1724</v>
          </cell>
          <cell r="D11">
            <v>2427</v>
          </cell>
        </row>
        <row r="12">
          <cell r="C12">
            <v>28</v>
          </cell>
          <cell r="D12">
            <v>119</v>
          </cell>
        </row>
        <row r="13">
          <cell r="C13">
            <v>8</v>
          </cell>
          <cell r="D13">
            <v>172</v>
          </cell>
        </row>
        <row r="14">
          <cell r="C14">
            <v>518</v>
          </cell>
          <cell r="D14">
            <v>432</v>
          </cell>
        </row>
        <row r="15">
          <cell r="C15">
            <v>39</v>
          </cell>
          <cell r="D15">
            <v>63</v>
          </cell>
        </row>
        <row r="16">
          <cell r="C16">
            <v>872</v>
          </cell>
          <cell r="D16">
            <v>1129</v>
          </cell>
        </row>
        <row r="17">
          <cell r="C17">
            <v>7557</v>
          </cell>
          <cell r="D17">
            <v>3616</v>
          </cell>
        </row>
        <row r="18">
          <cell r="C18">
            <v>4058</v>
          </cell>
          <cell r="D18">
            <v>11306</v>
          </cell>
        </row>
        <row r="19">
          <cell r="C19">
            <v>57503</v>
          </cell>
          <cell r="D19">
            <v>64427</v>
          </cell>
        </row>
        <row r="23">
          <cell r="C23">
            <v>5226</v>
          </cell>
          <cell r="D23">
            <v>5718</v>
          </cell>
        </row>
        <row r="24">
          <cell r="C24">
            <v>1177</v>
          </cell>
          <cell r="D24">
            <v>1862</v>
          </cell>
        </row>
        <row r="25">
          <cell r="C25">
            <v>846</v>
          </cell>
          <cell r="D25">
            <v>1641</v>
          </cell>
        </row>
        <row r="26">
          <cell r="C26">
            <v>4</v>
          </cell>
          <cell r="D26">
            <v>234</v>
          </cell>
        </row>
        <row r="27">
          <cell r="C27">
            <v>865</v>
          </cell>
          <cell r="D27">
            <v>1065</v>
          </cell>
        </row>
        <row r="28">
          <cell r="C28">
            <v>8118</v>
          </cell>
          <cell r="D28">
            <v>10520</v>
          </cell>
        </row>
      </sheetData>
      <sheetData sheetId="18">
        <row r="2">
          <cell r="C2">
            <v>5410</v>
          </cell>
          <cell r="D2">
            <v>7201</v>
          </cell>
        </row>
        <row r="3">
          <cell r="C3">
            <v>52741</v>
          </cell>
          <cell r="D3">
            <v>68844</v>
          </cell>
        </row>
        <row r="4">
          <cell r="C4">
            <v>4093</v>
          </cell>
          <cell r="D4">
            <v>5053</v>
          </cell>
        </row>
        <row r="5">
          <cell r="C5">
            <v>36007</v>
          </cell>
          <cell r="D5">
            <v>44069</v>
          </cell>
        </row>
        <row r="6">
          <cell r="C6">
            <v>27961</v>
          </cell>
          <cell r="D6">
            <v>34291</v>
          </cell>
        </row>
        <row r="7">
          <cell r="C7">
            <v>4824</v>
          </cell>
          <cell r="D7">
            <v>5634</v>
          </cell>
        </row>
        <row r="8">
          <cell r="C8">
            <v>131036</v>
          </cell>
          <cell r="D8">
            <v>165092</v>
          </cell>
        </row>
        <row r="12">
          <cell r="C12">
            <v>227924</v>
          </cell>
          <cell r="D12">
            <v>222932</v>
          </cell>
        </row>
        <row r="13">
          <cell r="C13">
            <v>10734</v>
          </cell>
          <cell r="D13">
            <v>10814</v>
          </cell>
        </row>
        <row r="14">
          <cell r="C14">
            <v>32366</v>
          </cell>
          <cell r="D14">
            <v>32271</v>
          </cell>
        </row>
        <row r="15">
          <cell r="C15">
            <v>271024</v>
          </cell>
          <cell r="D15">
            <v>266017</v>
          </cell>
        </row>
      </sheetData>
      <sheetData sheetId="19">
        <row r="2">
          <cell r="D2"/>
        </row>
        <row r="3">
          <cell r="D3"/>
        </row>
        <row r="4">
          <cell r="D4"/>
        </row>
        <row r="5">
          <cell r="D5"/>
        </row>
        <row r="6">
          <cell r="D6"/>
        </row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6">
          <cell r="D16"/>
        </row>
        <row r="17">
          <cell r="D17"/>
        </row>
        <row r="18">
          <cell r="D18"/>
        </row>
        <row r="19">
          <cell r="D19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8.6640625" defaultRowHeight="13.2"/>
  <cols>
    <col min="1" max="2" width="8.6640625" customWidth="1"/>
    <col min="3" max="3" width="18.44140625" customWidth="1"/>
  </cols>
  <sheetData>
    <row r="19" spans="2:7">
      <c r="B19" s="3" t="s">
        <v>186</v>
      </c>
      <c r="G19" s="88" t="s">
        <v>139</v>
      </c>
    </row>
    <row r="21" spans="2:7">
      <c r="B21" t="s">
        <v>61</v>
      </c>
      <c r="C21" t="s">
        <v>62</v>
      </c>
    </row>
    <row r="22" spans="2:7">
      <c r="C22" t="s">
        <v>63</v>
      </c>
    </row>
    <row r="23" spans="2:7">
      <c r="C23" t="s">
        <v>91</v>
      </c>
    </row>
    <row r="26" spans="2:7">
      <c r="B26" t="s">
        <v>64</v>
      </c>
      <c r="C26" t="s">
        <v>65</v>
      </c>
      <c r="D26" t="s">
        <v>66</v>
      </c>
    </row>
    <row r="27" spans="2:7">
      <c r="C27" t="s">
        <v>67</v>
      </c>
      <c r="D27" t="s">
        <v>68</v>
      </c>
    </row>
    <row r="28" spans="2:7">
      <c r="C28" t="s">
        <v>69</v>
      </c>
      <c r="D28" t="s">
        <v>70</v>
      </c>
    </row>
    <row r="29" spans="2:7">
      <c r="C29" t="s">
        <v>71</v>
      </c>
      <c r="D29" s="3" t="s">
        <v>85</v>
      </c>
    </row>
    <row r="30" spans="2:7">
      <c r="C30" s="3" t="s">
        <v>138</v>
      </c>
      <c r="D30" t="s">
        <v>72</v>
      </c>
    </row>
    <row r="31" spans="2:7">
      <c r="C31" t="s">
        <v>73</v>
      </c>
      <c r="D31" t="s">
        <v>90</v>
      </c>
    </row>
    <row r="32" spans="2:7">
      <c r="C32" t="s">
        <v>74</v>
      </c>
      <c r="D32" t="s">
        <v>96</v>
      </c>
    </row>
    <row r="33" spans="3:4">
      <c r="C33" t="s">
        <v>75</v>
      </c>
      <c r="D33" t="s">
        <v>76</v>
      </c>
    </row>
    <row r="34" spans="3:4">
      <c r="C34" t="s">
        <v>77</v>
      </c>
      <c r="D34" s="8" t="s">
        <v>84</v>
      </c>
    </row>
    <row r="35" spans="3:4">
      <c r="C35" t="s">
        <v>146</v>
      </c>
      <c r="D35" s="8" t="s">
        <v>147</v>
      </c>
    </row>
    <row r="36" spans="3:4">
      <c r="C36" t="s">
        <v>79</v>
      </c>
      <c r="D36" t="s">
        <v>154</v>
      </c>
    </row>
    <row r="37" spans="3:4">
      <c r="C37" t="s">
        <v>78</v>
      </c>
      <c r="D37" t="s">
        <v>83</v>
      </c>
    </row>
    <row r="38" spans="3:4">
      <c r="C38" t="s">
        <v>80</v>
      </c>
      <c r="D38" t="s">
        <v>82</v>
      </c>
    </row>
    <row r="39" spans="3:4">
      <c r="C39" t="s">
        <v>81</v>
      </c>
      <c r="D39" s="3" t="s">
        <v>172</v>
      </c>
    </row>
  </sheetData>
  <phoneticPr fontId="2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6"/>
  <sheetViews>
    <sheetView zoomScaleNormal="100" workbookViewId="0"/>
  </sheetViews>
  <sheetFormatPr defaultColWidth="9.109375" defaultRowHeight="13.2"/>
  <cols>
    <col min="1" max="1" width="24.6640625" style="26" customWidth="1"/>
    <col min="2" max="2" width="11" style="26" bestFit="1" customWidth="1"/>
    <col min="3" max="4" width="11.44140625" style="26" bestFit="1" customWidth="1"/>
    <col min="5" max="9" width="11.44140625" style="26" customWidth="1"/>
    <col min="10" max="10" width="11.44140625" style="26" bestFit="1" customWidth="1"/>
    <col min="11" max="11" width="11.44140625" style="26" customWidth="1"/>
    <col min="12" max="22" width="10.109375" style="26" bestFit="1" customWidth="1"/>
    <col min="23" max="16384" width="9.109375" style="26"/>
  </cols>
  <sheetData>
    <row r="1" spans="1:23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3">
      <c r="A2" s="29" t="s">
        <v>3</v>
      </c>
      <c r="B2" s="30">
        <f t="shared" ref="B2:B21" si="0">IFERROR((E2/F2-1), "")</f>
        <v>4.5624222314393226E-3</v>
      </c>
      <c r="C2" s="132">
        <f>E2-[1]Germany!C2</f>
        <v>-2453</v>
      </c>
      <c r="D2" s="31">
        <f>F2-[1]Germany!D2</f>
        <v>-2740</v>
      </c>
      <c r="E2" s="164">
        <v>9688</v>
      </c>
      <c r="F2" s="31">
        <v>9644</v>
      </c>
      <c r="G2" s="31">
        <v>12048</v>
      </c>
      <c r="H2" s="31">
        <v>4646</v>
      </c>
      <c r="I2" s="31">
        <v>9601</v>
      </c>
      <c r="J2" s="31">
        <v>12195</v>
      </c>
      <c r="K2" s="31">
        <v>2695</v>
      </c>
      <c r="L2" s="31">
        <v>13933</v>
      </c>
      <c r="M2" s="31">
        <v>8771</v>
      </c>
      <c r="N2" s="31">
        <v>12791</v>
      </c>
      <c r="O2" s="31">
        <v>6565</v>
      </c>
      <c r="P2" s="31">
        <v>9036</v>
      </c>
      <c r="Q2" s="31">
        <v>6862</v>
      </c>
      <c r="R2" s="31">
        <v>7675</v>
      </c>
      <c r="S2" s="31">
        <v>7960</v>
      </c>
      <c r="T2" s="31">
        <v>12486</v>
      </c>
      <c r="U2" s="31">
        <v>9699</v>
      </c>
      <c r="V2" s="32">
        <v>13259</v>
      </c>
    </row>
    <row r="3" spans="1:23">
      <c r="A3" s="29" t="s">
        <v>10</v>
      </c>
      <c r="B3" s="30">
        <f t="shared" si="0"/>
        <v>-0.24679213002566291</v>
      </c>
      <c r="C3" s="132">
        <f>E3-[1]Germany!C3</f>
        <v>-5296</v>
      </c>
      <c r="D3" s="31">
        <f>F3-[1]Germany!D3</f>
        <v>-6327</v>
      </c>
      <c r="E3" s="164">
        <v>36981</v>
      </c>
      <c r="F3" s="31">
        <v>49098</v>
      </c>
      <c r="G3" s="31">
        <v>42627</v>
      </c>
      <c r="H3" s="31">
        <v>46672</v>
      </c>
      <c r="I3" s="31">
        <v>47174</v>
      </c>
      <c r="J3" s="31">
        <v>51970</v>
      </c>
      <c r="K3" s="31">
        <v>25544</v>
      </c>
      <c r="L3" s="31">
        <v>45168</v>
      </c>
      <c r="M3" s="31">
        <v>51812</v>
      </c>
      <c r="N3" s="31">
        <v>47717</v>
      </c>
      <c r="O3" s="31">
        <v>34473</v>
      </c>
      <c r="P3" s="31">
        <v>40002</v>
      </c>
      <c r="Q3" s="31">
        <v>34861</v>
      </c>
      <c r="R3" s="31">
        <v>29621</v>
      </c>
      <c r="S3" s="31">
        <v>30549</v>
      </c>
      <c r="T3" s="31">
        <v>24941</v>
      </c>
      <c r="U3" s="31">
        <v>23057</v>
      </c>
      <c r="V3" s="32">
        <v>17023</v>
      </c>
    </row>
    <row r="4" spans="1:23">
      <c r="A4" s="29" t="s">
        <v>4</v>
      </c>
      <c r="B4" s="30" t="str">
        <f t="shared" si="0"/>
        <v/>
      </c>
      <c r="C4" s="132">
        <f>E4-[1]Germany!C4</f>
        <v>0</v>
      </c>
      <c r="D4" s="31">
        <f>F4-[1]Germany!D4</f>
        <v>0</v>
      </c>
      <c r="E4" s="164"/>
      <c r="F4" s="31">
        <v>0</v>
      </c>
      <c r="G4" s="31">
        <v>0</v>
      </c>
      <c r="H4" s="31">
        <v>78</v>
      </c>
      <c r="I4" s="31">
        <v>49</v>
      </c>
      <c r="J4" s="31">
        <v>239</v>
      </c>
      <c r="K4" s="31">
        <v>61</v>
      </c>
      <c r="L4" s="31">
        <v>394</v>
      </c>
      <c r="M4" s="31">
        <v>625</v>
      </c>
      <c r="N4" s="31">
        <v>469</v>
      </c>
      <c r="O4" s="31">
        <v>205</v>
      </c>
      <c r="P4" s="31">
        <v>351</v>
      </c>
      <c r="Q4" s="31">
        <v>863</v>
      </c>
      <c r="R4" s="31">
        <v>903</v>
      </c>
      <c r="S4" s="31">
        <v>1715</v>
      </c>
      <c r="T4" s="31">
        <v>2845</v>
      </c>
      <c r="U4" s="31">
        <v>1947</v>
      </c>
      <c r="V4" s="32">
        <v>4063</v>
      </c>
    </row>
    <row r="5" spans="1:23">
      <c r="A5" s="29" t="s">
        <v>1</v>
      </c>
      <c r="B5" s="30">
        <f t="shared" si="0"/>
        <v>-0.38373940395585648</v>
      </c>
      <c r="C5" s="132">
        <f>E5-[1]Germany!C5</f>
        <v>-11020</v>
      </c>
      <c r="D5" s="31">
        <f>F5-[1]Germany!D5</f>
        <v>-16455</v>
      </c>
      <c r="E5" s="164">
        <v>57796</v>
      </c>
      <c r="F5" s="31">
        <v>93785</v>
      </c>
      <c r="G5" s="31">
        <v>65607</v>
      </c>
      <c r="H5" s="31">
        <v>67387</v>
      </c>
      <c r="I5" s="31">
        <v>72030</v>
      </c>
      <c r="J5" s="31">
        <v>66109</v>
      </c>
      <c r="K5" s="31">
        <v>44229</v>
      </c>
      <c r="L5" s="31">
        <v>66592</v>
      </c>
      <c r="M5" s="31">
        <v>74990</v>
      </c>
      <c r="N5" s="31">
        <v>82248</v>
      </c>
      <c r="O5" s="31">
        <v>56161</v>
      </c>
      <c r="P5" s="31">
        <v>62118</v>
      </c>
      <c r="Q5" s="31">
        <v>68545</v>
      </c>
      <c r="R5" s="31">
        <v>53752</v>
      </c>
      <c r="S5" s="31">
        <v>78217</v>
      </c>
      <c r="T5" s="31">
        <v>53128</v>
      </c>
      <c r="U5" s="31">
        <v>66569</v>
      </c>
      <c r="V5" s="32">
        <v>59742</v>
      </c>
    </row>
    <row r="6" spans="1:23">
      <c r="A6" s="29" t="s">
        <v>11</v>
      </c>
      <c r="B6" s="30">
        <f t="shared" si="0"/>
        <v>-0.31699634622653394</v>
      </c>
      <c r="C6" s="132">
        <f>E6-[1]Germany!C6</f>
        <v>-190</v>
      </c>
      <c r="D6" s="31">
        <f>F6-[1]Germany!D6</f>
        <v>-145</v>
      </c>
      <c r="E6" s="164">
        <v>5421</v>
      </c>
      <c r="F6" s="31">
        <v>7937</v>
      </c>
      <c r="G6" s="31">
        <v>5986</v>
      </c>
      <c r="H6" s="31">
        <v>8297</v>
      </c>
      <c r="I6" s="31">
        <v>7523</v>
      </c>
      <c r="J6" s="31">
        <v>12006</v>
      </c>
      <c r="K6" s="31">
        <v>3628</v>
      </c>
      <c r="L6" s="31">
        <v>8348</v>
      </c>
      <c r="M6" s="31">
        <v>9802</v>
      </c>
      <c r="N6" s="31">
        <v>9580</v>
      </c>
      <c r="O6" s="31">
        <v>9368</v>
      </c>
      <c r="P6" s="31">
        <v>7038</v>
      </c>
      <c r="Q6" s="31">
        <v>8784</v>
      </c>
      <c r="R6" s="31">
        <v>6829</v>
      </c>
      <c r="S6" s="31">
        <v>7108</v>
      </c>
      <c r="T6" s="31">
        <v>5350</v>
      </c>
      <c r="U6" s="31">
        <v>6013</v>
      </c>
      <c r="V6" s="32">
        <v>3478</v>
      </c>
    </row>
    <row r="7" spans="1:23">
      <c r="A7" s="29" t="s">
        <v>8</v>
      </c>
      <c r="B7" s="30">
        <f t="shared" si="0"/>
        <v>-6.8847539015606252E-2</v>
      </c>
      <c r="C7" s="132">
        <f>E7-[1]Germany!C7</f>
        <v>-5276</v>
      </c>
      <c r="D7" s="31">
        <f>F7-[1]Germany!D7</f>
        <v>-4679</v>
      </c>
      <c r="E7" s="164">
        <v>31026</v>
      </c>
      <c r="F7" s="31">
        <v>33320</v>
      </c>
      <c r="G7" s="31">
        <v>31827</v>
      </c>
      <c r="H7" s="31">
        <v>32686</v>
      </c>
      <c r="I7" s="31">
        <v>25176</v>
      </c>
      <c r="J7" s="31">
        <v>28164</v>
      </c>
      <c r="K7" s="31">
        <v>18216</v>
      </c>
      <c r="L7" s="31">
        <v>25457</v>
      </c>
      <c r="M7" s="31">
        <v>26016</v>
      </c>
      <c r="N7" s="31">
        <v>20533</v>
      </c>
      <c r="O7" s="31">
        <v>20480</v>
      </c>
      <c r="P7" s="31">
        <v>21061</v>
      </c>
      <c r="Q7" s="31">
        <v>21023</v>
      </c>
      <c r="R7" s="31">
        <v>15525</v>
      </c>
      <c r="S7" s="31">
        <v>18851</v>
      </c>
      <c r="T7" s="31">
        <v>20571</v>
      </c>
      <c r="U7" s="31">
        <v>17274</v>
      </c>
      <c r="V7" s="32">
        <v>13724</v>
      </c>
    </row>
    <row r="8" spans="1:23">
      <c r="A8" s="29" t="s">
        <v>13</v>
      </c>
      <c r="B8" s="30" t="str">
        <f t="shared" si="0"/>
        <v/>
      </c>
      <c r="C8" s="132">
        <f>E8-[1]Germany!C8</f>
        <v>0</v>
      </c>
      <c r="D8" s="31">
        <f>F8-[1]Germany!D8</f>
        <v>0</v>
      </c>
      <c r="E8" s="164"/>
      <c r="F8" s="31">
        <v>0</v>
      </c>
      <c r="G8" s="31">
        <v>0</v>
      </c>
      <c r="H8" s="31">
        <v>428</v>
      </c>
      <c r="I8" s="31">
        <v>115</v>
      </c>
      <c r="J8" s="31">
        <v>860</v>
      </c>
      <c r="K8" s="31">
        <v>369</v>
      </c>
      <c r="L8" s="31">
        <v>1959</v>
      </c>
      <c r="M8" s="31">
        <v>1788</v>
      </c>
      <c r="N8" s="31">
        <v>3825</v>
      </c>
      <c r="O8" s="31">
        <v>3185</v>
      </c>
      <c r="P8" s="31">
        <v>5470</v>
      </c>
      <c r="Q8" s="31">
        <v>7011</v>
      </c>
      <c r="R8" s="31">
        <v>7856</v>
      </c>
      <c r="S8" s="31">
        <v>13168</v>
      </c>
      <c r="T8" s="31">
        <v>14899</v>
      </c>
      <c r="U8" s="31">
        <v>11136</v>
      </c>
      <c r="V8" s="32">
        <v>13605</v>
      </c>
    </row>
    <row r="9" spans="1:23">
      <c r="A9" s="29" t="s">
        <v>2</v>
      </c>
      <c r="B9" s="30">
        <f t="shared" si="0"/>
        <v>6.241956241956248E-2</v>
      </c>
      <c r="C9" s="132">
        <f>E9-[1]Germany!C9</f>
        <v>-311</v>
      </c>
      <c r="D9" s="31">
        <f>F9-[1]Germany!D9</f>
        <v>-982</v>
      </c>
      <c r="E9" s="164">
        <v>3302</v>
      </c>
      <c r="F9" s="31">
        <v>3108</v>
      </c>
      <c r="G9" s="31">
        <v>3732</v>
      </c>
      <c r="H9" s="31">
        <v>5012</v>
      </c>
      <c r="I9" s="31">
        <v>3675</v>
      </c>
      <c r="J9" s="31">
        <v>4251</v>
      </c>
      <c r="K9" s="31">
        <v>4603</v>
      </c>
      <c r="L9" s="31">
        <v>8798</v>
      </c>
      <c r="M9" s="31">
        <v>9446</v>
      </c>
      <c r="N9" s="31">
        <v>9533</v>
      </c>
      <c r="O9" s="31">
        <v>12491</v>
      </c>
      <c r="P9" s="31">
        <v>15332</v>
      </c>
      <c r="Q9" s="31">
        <v>19189</v>
      </c>
      <c r="R9" s="31">
        <v>14541</v>
      </c>
      <c r="S9" s="31">
        <v>20830</v>
      </c>
      <c r="T9" s="31">
        <v>23889</v>
      </c>
      <c r="U9" s="31">
        <v>19578</v>
      </c>
      <c r="V9" s="32">
        <v>18429</v>
      </c>
    </row>
    <row r="10" spans="1:23">
      <c r="A10" s="29" t="s">
        <v>14</v>
      </c>
      <c r="B10" s="30">
        <f t="shared" si="0"/>
        <v>-0.77159533073929965</v>
      </c>
      <c r="C10" s="132">
        <f>E10-[1]Germany!C10</f>
        <v>-516</v>
      </c>
      <c r="D10" s="31">
        <f>F10-[1]Germany!D10</f>
        <v>-901</v>
      </c>
      <c r="E10" s="164">
        <v>587</v>
      </c>
      <c r="F10" s="31">
        <v>2570</v>
      </c>
      <c r="G10" s="31">
        <v>2229</v>
      </c>
      <c r="H10" s="31">
        <v>3098</v>
      </c>
      <c r="I10" s="31">
        <v>4363</v>
      </c>
      <c r="J10" s="31">
        <v>3868</v>
      </c>
      <c r="K10" s="31">
        <v>1127</v>
      </c>
      <c r="L10" s="31">
        <v>4065</v>
      </c>
      <c r="M10" s="31">
        <v>5753</v>
      </c>
      <c r="N10" s="31">
        <v>4420</v>
      </c>
      <c r="O10" s="31">
        <v>1289</v>
      </c>
      <c r="P10" s="31">
        <v>2458</v>
      </c>
      <c r="Q10" s="31">
        <v>5425</v>
      </c>
      <c r="R10" s="31">
        <v>5329</v>
      </c>
      <c r="S10" s="31">
        <v>7051</v>
      </c>
      <c r="T10" s="31">
        <v>7956</v>
      </c>
      <c r="U10" s="31">
        <v>5470</v>
      </c>
      <c r="V10" s="32">
        <v>8007</v>
      </c>
    </row>
    <row r="11" spans="1:23">
      <c r="A11" s="29" t="s">
        <v>9</v>
      </c>
      <c r="B11" s="30">
        <f t="shared" si="0"/>
        <v>-0.42081878768644876</v>
      </c>
      <c r="C11" s="132">
        <f>E11-[1]Germany!C11</f>
        <v>209</v>
      </c>
      <c r="D11" s="31">
        <f>F11-[1]Germany!D11</f>
        <v>-78</v>
      </c>
      <c r="E11" s="164">
        <v>1825</v>
      </c>
      <c r="F11" s="31">
        <v>3151</v>
      </c>
      <c r="G11" s="31">
        <v>5318</v>
      </c>
      <c r="H11" s="31">
        <v>6116</v>
      </c>
      <c r="I11" s="31">
        <v>4132</v>
      </c>
      <c r="J11" s="31">
        <v>9068</v>
      </c>
      <c r="K11" s="31">
        <v>8699</v>
      </c>
      <c r="L11" s="31">
        <v>11621</v>
      </c>
      <c r="M11" s="31">
        <v>16839</v>
      </c>
      <c r="N11" s="31">
        <v>11650</v>
      </c>
      <c r="O11" s="31">
        <v>22499</v>
      </c>
      <c r="P11" s="31">
        <v>24959</v>
      </c>
      <c r="Q11" s="31">
        <v>24190</v>
      </c>
      <c r="R11" s="31">
        <v>22799</v>
      </c>
      <c r="S11" s="31">
        <v>27468</v>
      </c>
      <c r="T11" s="31">
        <v>28247</v>
      </c>
      <c r="U11" s="31">
        <v>19808</v>
      </c>
      <c r="V11" s="32">
        <v>27140</v>
      </c>
      <c r="W11" s="31"/>
    </row>
    <row r="12" spans="1:23">
      <c r="A12" s="29" t="s">
        <v>109</v>
      </c>
      <c r="B12" s="30" t="str">
        <f t="shared" si="0"/>
        <v/>
      </c>
      <c r="C12" s="132">
        <f>E12-[1]Germany!C12</f>
        <v>0</v>
      </c>
      <c r="D12" s="31">
        <f>F12-[1]Germany!D12</f>
        <v>0</v>
      </c>
      <c r="E12" s="164"/>
      <c r="F12" s="31">
        <v>0</v>
      </c>
      <c r="G12" s="31">
        <v>0</v>
      </c>
      <c r="H12" s="31">
        <v>10</v>
      </c>
      <c r="I12" s="31">
        <v>29</v>
      </c>
      <c r="J12" s="31">
        <v>195</v>
      </c>
      <c r="K12" s="31">
        <v>192</v>
      </c>
      <c r="L12" s="31">
        <v>155</v>
      </c>
      <c r="M12" s="31">
        <v>359</v>
      </c>
      <c r="N12" s="31">
        <v>158</v>
      </c>
      <c r="O12" s="31">
        <v>168</v>
      </c>
      <c r="P12" s="31">
        <v>185</v>
      </c>
      <c r="Q12" s="31">
        <v>245</v>
      </c>
      <c r="R12" s="31">
        <v>362</v>
      </c>
      <c r="S12" s="31">
        <v>513</v>
      </c>
      <c r="T12" s="31">
        <v>1471</v>
      </c>
      <c r="U12" s="31">
        <v>676</v>
      </c>
      <c r="V12" s="32">
        <v>823</v>
      </c>
      <c r="W12" s="31"/>
    </row>
    <row r="13" spans="1:23">
      <c r="A13" s="29" t="s">
        <v>26</v>
      </c>
      <c r="B13" s="30">
        <f t="shared" si="0"/>
        <v>-0.35611958891311113</v>
      </c>
      <c r="C13" s="132">
        <f>E13-[1]Germany!C13</f>
        <v>-110</v>
      </c>
      <c r="D13" s="31">
        <f>F13-[1]Germany!D13</f>
        <v>-1808</v>
      </c>
      <c r="E13" s="164">
        <v>12405</v>
      </c>
      <c r="F13" s="31">
        <v>19266</v>
      </c>
      <c r="G13" s="31">
        <v>18722</v>
      </c>
      <c r="H13" s="31">
        <v>11717</v>
      </c>
      <c r="I13" s="31">
        <v>17131</v>
      </c>
      <c r="J13" s="31">
        <v>32334</v>
      </c>
      <c r="K13" s="31">
        <v>12822</v>
      </c>
      <c r="L13" s="31">
        <v>34639</v>
      </c>
      <c r="M13" s="31">
        <v>30092</v>
      </c>
      <c r="N13" s="31">
        <v>39508</v>
      </c>
      <c r="O13" s="31">
        <v>31729</v>
      </c>
      <c r="P13" s="31">
        <v>42384</v>
      </c>
      <c r="Q13" s="31">
        <v>51310</v>
      </c>
      <c r="R13" s="31">
        <v>41085</v>
      </c>
      <c r="S13" s="31">
        <v>61512</v>
      </c>
      <c r="T13" s="31">
        <v>54942</v>
      </c>
      <c r="U13" s="31">
        <v>59439</v>
      </c>
      <c r="V13" s="32">
        <v>55076</v>
      </c>
      <c r="W13" s="31"/>
    </row>
    <row r="14" spans="1:23">
      <c r="A14" s="29" t="s">
        <v>25</v>
      </c>
      <c r="B14" s="30">
        <f t="shared" si="0"/>
        <v>-0.35443906007131754</v>
      </c>
      <c r="C14" s="132">
        <f>E14-[1]Germany!C14</f>
        <v>-444</v>
      </c>
      <c r="D14" s="31">
        <f>F14-[1]Germany!D14</f>
        <v>-1173</v>
      </c>
      <c r="E14" s="164">
        <v>14121</v>
      </c>
      <c r="F14" s="31">
        <v>21874</v>
      </c>
      <c r="G14" s="31">
        <v>28321</v>
      </c>
      <c r="H14" s="31">
        <v>30635</v>
      </c>
      <c r="I14" s="31">
        <v>33235</v>
      </c>
      <c r="J14" s="31">
        <v>53917</v>
      </c>
      <c r="K14" s="31">
        <v>26710</v>
      </c>
      <c r="L14" s="31">
        <v>60211</v>
      </c>
      <c r="M14" s="31">
        <v>57143</v>
      </c>
      <c r="N14" s="31">
        <v>72896</v>
      </c>
      <c r="O14" s="31">
        <v>47555</v>
      </c>
      <c r="P14" s="31">
        <v>67943</v>
      </c>
      <c r="Q14" s="31">
        <v>75469</v>
      </c>
      <c r="R14" s="31">
        <v>58306</v>
      </c>
      <c r="S14" s="31">
        <v>82449</v>
      </c>
      <c r="T14" s="31">
        <v>67519</v>
      </c>
      <c r="U14" s="31">
        <v>62254</v>
      </c>
      <c r="V14" s="32">
        <v>62677</v>
      </c>
    </row>
    <row r="15" spans="1:23">
      <c r="A15" s="29" t="s">
        <v>12</v>
      </c>
      <c r="B15" s="30">
        <f t="shared" si="0"/>
        <v>5.0110346618200685E-2</v>
      </c>
      <c r="C15" s="132">
        <f>E15-[1]Germany!C15</f>
        <v>58</v>
      </c>
      <c r="D15" s="31">
        <f>F15-[1]Germany!D15</f>
        <v>-640</v>
      </c>
      <c r="E15" s="164">
        <v>8089</v>
      </c>
      <c r="F15" s="31">
        <v>7703</v>
      </c>
      <c r="G15" s="31">
        <v>8154</v>
      </c>
      <c r="H15" s="31">
        <v>9384</v>
      </c>
      <c r="I15" s="31">
        <v>8986</v>
      </c>
      <c r="J15" s="31">
        <v>11251</v>
      </c>
      <c r="K15" s="31">
        <v>8165</v>
      </c>
      <c r="L15" s="31">
        <v>13201</v>
      </c>
      <c r="M15" s="31">
        <v>13516</v>
      </c>
      <c r="N15" s="31">
        <v>15080</v>
      </c>
      <c r="O15" s="31">
        <v>12267</v>
      </c>
      <c r="P15" s="31">
        <v>14352</v>
      </c>
      <c r="Q15" s="31">
        <v>12379</v>
      </c>
      <c r="R15" s="31">
        <v>10476</v>
      </c>
      <c r="S15" s="31">
        <v>13681</v>
      </c>
      <c r="T15" s="31">
        <v>11513</v>
      </c>
      <c r="U15" s="31">
        <v>10920</v>
      </c>
      <c r="V15" s="32">
        <v>8908</v>
      </c>
    </row>
    <row r="16" spans="1:23">
      <c r="A16" s="29" t="s">
        <v>97</v>
      </c>
      <c r="B16" s="30">
        <f t="shared" si="0"/>
        <v>-9.4701912079769301E-2</v>
      </c>
      <c r="C16" s="132">
        <f>E16-[1]Germany!C16</f>
        <v>-2070</v>
      </c>
      <c r="D16" s="31">
        <f>F16-[1]Germany!D16</f>
        <v>-3236</v>
      </c>
      <c r="E16" s="164">
        <v>56200</v>
      </c>
      <c r="F16" s="31">
        <v>62079</v>
      </c>
      <c r="G16" s="31">
        <v>69944</v>
      </c>
      <c r="H16" s="31">
        <v>57058</v>
      </c>
      <c r="I16" s="31">
        <v>59748</v>
      </c>
      <c r="J16" s="31">
        <v>71383</v>
      </c>
      <c r="K16" s="31">
        <v>41596</v>
      </c>
      <c r="L16" s="31">
        <v>60149</v>
      </c>
      <c r="M16" s="31">
        <v>37163</v>
      </c>
      <c r="N16" s="31">
        <v>45161</v>
      </c>
      <c r="O16" s="31">
        <v>19737</v>
      </c>
      <c r="P16" s="31">
        <v>30514</v>
      </c>
      <c r="Q16" s="31">
        <v>23972</v>
      </c>
      <c r="R16" s="31">
        <v>18137</v>
      </c>
      <c r="S16" s="31">
        <v>21424</v>
      </c>
      <c r="T16" s="31">
        <v>14648</v>
      </c>
      <c r="U16" s="31">
        <v>13893</v>
      </c>
      <c r="V16" s="32">
        <v>7213</v>
      </c>
    </row>
    <row r="17" spans="1:22">
      <c r="A17" s="29" t="s">
        <v>88</v>
      </c>
      <c r="B17" s="30">
        <f t="shared" si="0"/>
        <v>-0.49420654911838791</v>
      </c>
      <c r="C17" s="132">
        <f>E17-[1]Germany!C17</f>
        <v>-1204</v>
      </c>
      <c r="D17" s="31">
        <f>F17-[1]Germany!D17</f>
        <v>-510</v>
      </c>
      <c r="E17" s="164">
        <v>1004</v>
      </c>
      <c r="F17" s="31">
        <v>1985</v>
      </c>
      <c r="G17" s="31">
        <v>2455</v>
      </c>
      <c r="H17" s="31">
        <v>815</v>
      </c>
      <c r="I17" s="31">
        <v>1141</v>
      </c>
      <c r="J17" s="31">
        <v>1851</v>
      </c>
      <c r="K17" s="31">
        <v>2697</v>
      </c>
      <c r="L17" s="31">
        <v>4529</v>
      </c>
      <c r="M17" s="31">
        <v>3026</v>
      </c>
      <c r="N17" s="31">
        <v>3429</v>
      </c>
      <c r="O17" s="31">
        <v>1601</v>
      </c>
      <c r="P17" s="31">
        <v>4368</v>
      </c>
      <c r="Q17" s="31">
        <v>4436</v>
      </c>
      <c r="R17" s="31">
        <v>2743</v>
      </c>
      <c r="S17" s="31">
        <v>4282</v>
      </c>
      <c r="T17" s="31">
        <v>3079</v>
      </c>
      <c r="U17" s="31">
        <v>2888</v>
      </c>
      <c r="V17" s="32">
        <v>2738</v>
      </c>
    </row>
    <row r="18" spans="1:22">
      <c r="A18" s="29" t="s">
        <v>103</v>
      </c>
      <c r="B18" s="30">
        <f t="shared" si="0"/>
        <v>-0.35755913609873158</v>
      </c>
      <c r="C18" s="132">
        <f>E18-[1]Germany!C18</f>
        <v>-177</v>
      </c>
      <c r="D18" s="31">
        <f>F18-[1]Germany!D18</f>
        <v>-206</v>
      </c>
      <c r="E18" s="164">
        <v>1874</v>
      </c>
      <c r="F18" s="31">
        <v>2917</v>
      </c>
      <c r="G18" s="31">
        <v>1831</v>
      </c>
      <c r="H18" s="31">
        <v>2027</v>
      </c>
      <c r="I18" s="31">
        <v>1883</v>
      </c>
      <c r="J18" s="31">
        <v>2988</v>
      </c>
      <c r="K18" s="31">
        <v>657</v>
      </c>
      <c r="L18" s="31">
        <v>1510</v>
      </c>
      <c r="M18" s="31">
        <v>2312</v>
      </c>
      <c r="N18" s="31">
        <v>2382</v>
      </c>
      <c r="O18" s="31">
        <v>2228</v>
      </c>
      <c r="P18" s="31">
        <v>2173</v>
      </c>
      <c r="Q18" s="31">
        <v>2521</v>
      </c>
      <c r="R18" s="31">
        <v>1982</v>
      </c>
      <c r="S18" s="31">
        <v>2308</v>
      </c>
      <c r="T18" s="31">
        <v>1661</v>
      </c>
      <c r="U18" s="31">
        <v>2078</v>
      </c>
      <c r="V18" s="32">
        <v>1036</v>
      </c>
    </row>
    <row r="19" spans="1:22">
      <c r="A19" s="29" t="s">
        <v>141</v>
      </c>
      <c r="B19" s="30">
        <f t="shared" si="0"/>
        <v>-0.28207628333811297</v>
      </c>
      <c r="C19" s="132">
        <f>E19-[1]Germany!C19</f>
        <v>-13795</v>
      </c>
      <c r="D19" s="31">
        <f>F19-[1]Germany!D19</f>
        <v>-4454</v>
      </c>
      <c r="E19" s="164">
        <v>37551</v>
      </c>
      <c r="F19" s="31">
        <v>52305</v>
      </c>
      <c r="G19" s="31">
        <v>46087</v>
      </c>
      <c r="H19" s="31">
        <v>47155</v>
      </c>
      <c r="I19" s="31">
        <v>37376</v>
      </c>
      <c r="J19" s="31">
        <v>43056</v>
      </c>
      <c r="K19" s="31">
        <v>20530</v>
      </c>
      <c r="L19" s="31">
        <v>31232</v>
      </c>
      <c r="M19" s="31">
        <v>29902</v>
      </c>
      <c r="N19" s="31">
        <v>29197</v>
      </c>
      <c r="O19" s="31">
        <v>19591</v>
      </c>
      <c r="P19" s="31">
        <v>18353</v>
      </c>
      <c r="Q19" s="31">
        <v>15681</v>
      </c>
      <c r="R19" s="31">
        <v>8536</v>
      </c>
      <c r="S19" s="31">
        <v>8901</v>
      </c>
      <c r="T19" s="31">
        <v>2842</v>
      </c>
      <c r="U19" s="31">
        <v>3336</v>
      </c>
      <c r="V19" s="32">
        <v>1871</v>
      </c>
    </row>
    <row r="20" spans="1:22" ht="13.8" thickBot="1">
      <c r="A20" s="33" t="s">
        <v>5</v>
      </c>
      <c r="B20" s="34">
        <f t="shared" si="0"/>
        <v>1.185825621042377</v>
      </c>
      <c r="C20" s="134">
        <f>E20-[1]Germany!C20</f>
        <v>10430</v>
      </c>
      <c r="D20" s="35">
        <f>F20-[1]Germany!D20</f>
        <v>-2472</v>
      </c>
      <c r="E20" s="166">
        <v>35900</v>
      </c>
      <c r="F20" s="35">
        <v>16424</v>
      </c>
      <c r="G20" s="35">
        <v>6418</v>
      </c>
      <c r="H20" s="35">
        <v>5721</v>
      </c>
      <c r="I20" s="35">
        <v>9667</v>
      </c>
      <c r="J20" s="35">
        <v>8012</v>
      </c>
      <c r="K20" s="35">
        <v>3228</v>
      </c>
      <c r="L20" s="35">
        <v>8377</v>
      </c>
      <c r="M20" s="35">
        <v>5695</v>
      </c>
      <c r="N20" s="35">
        <v>8540</v>
      </c>
      <c r="O20" s="35">
        <v>6562</v>
      </c>
      <c r="P20" s="35">
        <v>7954</v>
      </c>
      <c r="Q20" s="35">
        <v>7543</v>
      </c>
      <c r="R20" s="35">
        <v>7035</v>
      </c>
      <c r="S20" s="35">
        <v>9245</v>
      </c>
      <c r="T20" s="35">
        <v>9124</v>
      </c>
      <c r="U20" s="35">
        <v>8005</v>
      </c>
      <c r="V20" s="36">
        <v>7206</v>
      </c>
    </row>
    <row r="21" spans="1:22" ht="13.8" thickBot="1">
      <c r="A21" s="37" t="s">
        <v>93</v>
      </c>
      <c r="B21" s="54">
        <f t="shared" si="0"/>
        <v>-0.18957243146350666</v>
      </c>
      <c r="C21" s="135">
        <f>E21-[1]Germany!C21</f>
        <v>-32165</v>
      </c>
      <c r="D21" s="55">
        <f>F21-[1]Germany!D21</f>
        <v>-46806</v>
      </c>
      <c r="E21" s="167">
        <f t="shared" ref="E21:J21" si="1">SUM(E2:E20)</f>
        <v>313770</v>
      </c>
      <c r="F21" s="55">
        <f t="shared" si="1"/>
        <v>387166</v>
      </c>
      <c r="G21" s="55">
        <f t="shared" si="1"/>
        <v>351306</v>
      </c>
      <c r="H21" s="55">
        <f t="shared" si="1"/>
        <v>338942</v>
      </c>
      <c r="I21" s="55">
        <f t="shared" si="1"/>
        <v>343034</v>
      </c>
      <c r="J21" s="55">
        <f t="shared" si="1"/>
        <v>413717</v>
      </c>
      <c r="K21" s="55">
        <v>225768</v>
      </c>
      <c r="L21" s="39">
        <f>SUM(L2:L20)</f>
        <v>400338</v>
      </c>
      <c r="M21" s="39">
        <f>SUM(M2:M20)</f>
        <v>385050</v>
      </c>
      <c r="N21" s="39">
        <f>SUM(N2:N20)</f>
        <v>419117</v>
      </c>
      <c r="O21" s="39">
        <f>SUM(O2:O20)</f>
        <v>308154</v>
      </c>
      <c r="P21" s="39">
        <f>SUM(P2:P20)</f>
        <v>376051</v>
      </c>
      <c r="Q21" s="39">
        <f t="shared" ref="Q21:V21" si="2">SUM(Q2:Q20)</f>
        <v>390309</v>
      </c>
      <c r="R21" s="39">
        <f t="shared" si="2"/>
        <v>313492</v>
      </c>
      <c r="S21" s="39">
        <f t="shared" si="2"/>
        <v>417232</v>
      </c>
      <c r="T21" s="39">
        <f t="shared" si="2"/>
        <v>361111</v>
      </c>
      <c r="U21" s="39">
        <f t="shared" si="2"/>
        <v>344040</v>
      </c>
      <c r="V21" s="56">
        <f t="shared" si="2"/>
        <v>326018</v>
      </c>
    </row>
    <row r="23" spans="1:22" ht="13.8" thickBot="1"/>
    <row r="24" spans="1:22" ht="13.8" thickBot="1">
      <c r="A24" s="27" t="s">
        <v>24</v>
      </c>
      <c r="B24" s="12" t="s">
        <v>184</v>
      </c>
      <c r="C24" s="117" t="s">
        <v>185</v>
      </c>
      <c r="D24" s="42" t="s">
        <v>179</v>
      </c>
      <c r="E24" s="156">
        <v>45261</v>
      </c>
      <c r="F24" s="13">
        <v>44896</v>
      </c>
      <c r="G24" s="13">
        <v>44531</v>
      </c>
      <c r="H24" s="13">
        <v>44166</v>
      </c>
      <c r="I24" s="13">
        <v>43800</v>
      </c>
      <c r="J24" s="13">
        <v>43435</v>
      </c>
      <c r="K24" s="13">
        <v>43070</v>
      </c>
      <c r="L24" s="13">
        <v>42705</v>
      </c>
      <c r="M24" s="28">
        <f>M1</f>
        <v>42339</v>
      </c>
      <c r="N24" s="28">
        <f>N1</f>
        <v>41974</v>
      </c>
      <c r="O24" s="28">
        <v>41609</v>
      </c>
      <c r="P24" s="28">
        <v>41244</v>
      </c>
      <c r="Q24" s="28">
        <v>40878</v>
      </c>
      <c r="R24" s="28">
        <v>40513</v>
      </c>
      <c r="S24" s="28">
        <v>40148</v>
      </c>
      <c r="T24" s="28">
        <v>39783</v>
      </c>
      <c r="U24" s="28">
        <v>39417</v>
      </c>
      <c r="V24" s="44">
        <v>39052</v>
      </c>
    </row>
    <row r="25" spans="1:22" ht="13.8" thickBot="1">
      <c r="A25" s="33" t="s">
        <v>5</v>
      </c>
      <c r="B25" s="81">
        <f>IFERROR((E25/F25-1), "")</f>
        <v>0.2754278969112729</v>
      </c>
      <c r="C25" s="134">
        <f>E25-[1]Germany!C25</f>
        <v>-973</v>
      </c>
      <c r="D25" s="35">
        <f>F25-[1]Germany!D25</f>
        <v>-513</v>
      </c>
      <c r="E25" s="166">
        <v>6483</v>
      </c>
      <c r="F25" s="35">
        <v>5083</v>
      </c>
      <c r="G25" s="35">
        <v>5542</v>
      </c>
      <c r="H25" s="35">
        <v>4953</v>
      </c>
      <c r="I25" s="35">
        <v>5376</v>
      </c>
      <c r="J25" s="35">
        <v>5040</v>
      </c>
      <c r="K25" s="35">
        <v>3221</v>
      </c>
      <c r="L25" s="35">
        <v>3457</v>
      </c>
      <c r="M25" s="35">
        <v>5609</v>
      </c>
      <c r="N25" s="35">
        <v>3339</v>
      </c>
      <c r="O25" s="35">
        <v>5436</v>
      </c>
      <c r="P25" s="35">
        <v>2045</v>
      </c>
      <c r="Q25" s="35">
        <v>4606</v>
      </c>
      <c r="R25" s="35">
        <v>3862</v>
      </c>
      <c r="S25" s="35">
        <v>4446</v>
      </c>
      <c r="T25" s="35">
        <v>2527</v>
      </c>
      <c r="U25" s="35">
        <v>2243</v>
      </c>
      <c r="V25" s="36">
        <v>2064</v>
      </c>
    </row>
    <row r="26" spans="1:22" ht="13.8" thickBot="1">
      <c r="A26" s="37" t="s">
        <v>93</v>
      </c>
      <c r="B26" s="38">
        <f>IFERROR((E26/F26-1), "")</f>
        <v>0.2754278969112729</v>
      </c>
      <c r="C26" s="133">
        <f>E26-[1]Germany!C26</f>
        <v>-973</v>
      </c>
      <c r="D26" s="39">
        <f>F26-[1]Germany!D26</f>
        <v>-513</v>
      </c>
      <c r="E26" s="167">
        <v>6483</v>
      </c>
      <c r="F26" s="55">
        <v>5083</v>
      </c>
      <c r="G26" s="55">
        <v>5542</v>
      </c>
      <c r="H26" s="39">
        <v>4953</v>
      </c>
      <c r="I26" s="39">
        <v>5376</v>
      </c>
      <c r="J26" s="39"/>
      <c r="K26" s="39">
        <v>3221</v>
      </c>
      <c r="L26" s="39">
        <f>SUM(L25)</f>
        <v>3457</v>
      </c>
      <c r="M26" s="39">
        <f>SUM(M25)</f>
        <v>5609</v>
      </c>
      <c r="N26" s="39">
        <f>SUM(N25)</f>
        <v>3339</v>
      </c>
      <c r="O26" s="39">
        <f>SUM(O25)</f>
        <v>5436</v>
      </c>
      <c r="P26" s="39">
        <f>SUM(P25)</f>
        <v>2045</v>
      </c>
      <c r="Q26" s="39">
        <f t="shared" ref="Q26:V26" si="3">SUM(Q25)</f>
        <v>4606</v>
      </c>
      <c r="R26" s="39">
        <f t="shared" si="3"/>
        <v>3862</v>
      </c>
      <c r="S26" s="39">
        <f t="shared" si="3"/>
        <v>4446</v>
      </c>
      <c r="T26" s="39">
        <f t="shared" si="3"/>
        <v>2527</v>
      </c>
      <c r="U26" s="39">
        <f t="shared" si="3"/>
        <v>2243</v>
      </c>
      <c r="V26" s="40">
        <f t="shared" si="3"/>
        <v>2064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7"/>
  <sheetViews>
    <sheetView zoomScaleNormal="100"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3" width="11.44140625" style="26" bestFit="1" customWidth="1"/>
    <col min="4" max="4" width="11.6640625" style="26" bestFit="1" customWidth="1"/>
    <col min="5" max="9" width="11.6640625" style="26" customWidth="1"/>
    <col min="10" max="10" width="11.44140625" style="26" bestFit="1" customWidth="1"/>
    <col min="11" max="11" width="11.44140625" style="26" customWidth="1"/>
    <col min="12" max="22" width="10.109375" style="26" bestFit="1" customWidth="1"/>
    <col min="23" max="16384" width="9.109375" style="26"/>
  </cols>
  <sheetData>
    <row r="1" spans="1:28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28">
        <v>43435</v>
      </c>
      <c r="K1" s="28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8">
      <c r="A2" s="50" t="s">
        <v>145</v>
      </c>
      <c r="B2" s="51">
        <f t="shared" ref="B2:B20" si="0">IFERROR((E2/F2-1), "")</f>
        <v>-0.19999999999999996</v>
      </c>
      <c r="C2" s="132">
        <f>E2-[1]Italy!C2</f>
        <v>-16000</v>
      </c>
      <c r="D2" s="31">
        <f>F2-[1]Italy!D2</f>
        <v>-10000</v>
      </c>
      <c r="E2" s="164">
        <v>20000</v>
      </c>
      <c r="F2" s="31">
        <v>25000</v>
      </c>
      <c r="G2" s="31">
        <v>25000</v>
      </c>
      <c r="H2" s="31">
        <v>25000</v>
      </c>
      <c r="I2" s="31">
        <v>25000</v>
      </c>
      <c r="J2" s="31">
        <v>25000</v>
      </c>
      <c r="K2" s="31">
        <v>18000</v>
      </c>
      <c r="L2" s="31">
        <v>20000</v>
      </c>
      <c r="M2" s="31">
        <v>20000</v>
      </c>
      <c r="N2" s="31">
        <v>27000</v>
      </c>
      <c r="O2" s="31"/>
      <c r="P2" s="31">
        <v>33521.627330017844</v>
      </c>
      <c r="Q2" s="31">
        <v>20048.692952691636</v>
      </c>
      <c r="R2" s="31">
        <v>20000</v>
      </c>
      <c r="S2" s="31">
        <v>20000</v>
      </c>
      <c r="T2" s="31">
        <v>27000</v>
      </c>
      <c r="U2" s="31">
        <v>30000</v>
      </c>
      <c r="V2" s="32">
        <v>40000</v>
      </c>
    </row>
    <row r="3" spans="1:28">
      <c r="A3" s="50" t="s">
        <v>10</v>
      </c>
      <c r="B3" s="51">
        <f t="shared" si="0"/>
        <v>5.035791655897337E-2</v>
      </c>
      <c r="C3" s="132">
        <f>E3-[1]Italy!C3</f>
        <v>-2561.1479999999974</v>
      </c>
      <c r="D3" s="31">
        <f>F3-[1]Italy!D3</f>
        <v>-2482.2610000000022</v>
      </c>
      <c r="E3" s="164">
        <v>28077.066000000003</v>
      </c>
      <c r="F3" s="31">
        <v>26730.950999999997</v>
      </c>
      <c r="G3" s="31">
        <v>33396.163</v>
      </c>
      <c r="H3" s="31">
        <v>33448.295999999995</v>
      </c>
      <c r="I3" s="31">
        <v>41982</v>
      </c>
      <c r="J3" s="31">
        <v>52201</v>
      </c>
      <c r="K3" s="31">
        <v>43268</v>
      </c>
      <c r="L3" s="31">
        <v>65977.7</v>
      </c>
      <c r="M3" s="31">
        <v>60952</v>
      </c>
      <c r="N3" s="31">
        <v>70274</v>
      </c>
      <c r="O3" s="31">
        <v>65487</v>
      </c>
      <c r="P3" s="31">
        <v>56620.344651172003</v>
      </c>
      <c r="Q3" s="31">
        <v>75619.660078962304</v>
      </c>
      <c r="R3" s="31">
        <v>68936</v>
      </c>
      <c r="S3" s="31">
        <v>67343</v>
      </c>
      <c r="T3" s="31">
        <v>65212.2</v>
      </c>
      <c r="U3" s="31">
        <v>68212.5</v>
      </c>
      <c r="V3" s="32">
        <v>58382</v>
      </c>
      <c r="Y3" s="31"/>
      <c r="Z3" s="31"/>
      <c r="AA3" s="31"/>
      <c r="AB3" s="31"/>
    </row>
    <row r="4" spans="1:28">
      <c r="A4" s="29" t="s">
        <v>60</v>
      </c>
      <c r="B4" s="51">
        <f t="shared" si="0"/>
        <v>0.14341312218478008</v>
      </c>
      <c r="C4" s="132">
        <f>E4-[1]Italy!C4</f>
        <v>96971.627345425542</v>
      </c>
      <c r="D4" s="31">
        <f>F4-[1]Italy!D4</f>
        <v>16324.682000000001</v>
      </c>
      <c r="E4" s="164">
        <v>115855.97099999999</v>
      </c>
      <c r="F4" s="31">
        <v>101324.682</v>
      </c>
      <c r="G4" s="31">
        <v>80779.28</v>
      </c>
      <c r="H4" s="31">
        <v>86428.510000000009</v>
      </c>
      <c r="I4" s="31">
        <v>78542</v>
      </c>
      <c r="J4" s="31">
        <v>87181</v>
      </c>
      <c r="K4" s="31">
        <v>85265</v>
      </c>
      <c r="L4" s="31">
        <v>77319.8</v>
      </c>
      <c r="M4" s="31">
        <v>65199.6</v>
      </c>
      <c r="N4" s="31">
        <v>80095</v>
      </c>
      <c r="O4" s="31">
        <v>54692</v>
      </c>
      <c r="P4" s="31">
        <v>47002.900597184416</v>
      </c>
      <c r="Q4" s="31">
        <v>68678.802578740462</v>
      </c>
      <c r="R4" s="31">
        <v>53863</v>
      </c>
      <c r="S4" s="31"/>
      <c r="T4" s="31"/>
      <c r="U4" s="31"/>
      <c r="V4" s="32"/>
      <c r="Y4" s="31"/>
      <c r="Z4" s="31"/>
      <c r="AA4" s="31"/>
      <c r="AB4" s="31"/>
    </row>
    <row r="5" spans="1:28">
      <c r="A5" s="50" t="s">
        <v>1</v>
      </c>
      <c r="B5" s="51" t="str">
        <f t="shared" si="0"/>
        <v/>
      </c>
      <c r="C5" s="132">
        <f>E5-[1]Italy!C5</f>
        <v>0</v>
      </c>
      <c r="D5" s="31">
        <f>F5-[1]Italy!D5</f>
        <v>0</v>
      </c>
      <c r="E5" s="164"/>
      <c r="F5" s="31"/>
      <c r="G5" s="31"/>
      <c r="H5" s="31"/>
      <c r="I5" s="31">
        <v>0</v>
      </c>
      <c r="J5" s="31">
        <v>1</v>
      </c>
      <c r="K5" s="31">
        <v>0</v>
      </c>
      <c r="L5" s="31">
        <v>3</v>
      </c>
      <c r="M5" s="31">
        <v>3</v>
      </c>
      <c r="N5" s="31">
        <v>55</v>
      </c>
      <c r="O5" s="31">
        <v>74</v>
      </c>
      <c r="P5" s="31">
        <v>27.082915045647141</v>
      </c>
      <c r="Q5" s="31">
        <v>135.32867743066853</v>
      </c>
      <c r="R5" s="31">
        <v>51</v>
      </c>
      <c r="S5" s="31">
        <v>131.06</v>
      </c>
      <c r="T5" s="31">
        <v>193</v>
      </c>
      <c r="U5" s="31">
        <v>142.69999999999999</v>
      </c>
      <c r="V5" s="32">
        <v>445</v>
      </c>
    </row>
    <row r="6" spans="1:28">
      <c r="A6" s="50" t="s">
        <v>11</v>
      </c>
      <c r="B6" s="51">
        <f t="shared" si="0"/>
        <v>-6.6234270420913899E-2</v>
      </c>
      <c r="C6" s="132">
        <f>E6-[1]Italy!C6</f>
        <v>-11417.408166390305</v>
      </c>
      <c r="D6" s="31">
        <f>F6-[1]Italy!D6</f>
        <v>-9006.8547266796522</v>
      </c>
      <c r="E6" s="164">
        <v>102442.53927391907</v>
      </c>
      <c r="F6" s="31">
        <v>109709.03731934683</v>
      </c>
      <c r="G6" s="31">
        <v>104940</v>
      </c>
      <c r="H6" s="31">
        <v>113461.572</v>
      </c>
      <c r="I6" s="31">
        <v>106451</v>
      </c>
      <c r="J6" s="31">
        <v>121634</v>
      </c>
      <c r="K6" s="31">
        <v>102338</v>
      </c>
      <c r="L6" s="31">
        <v>123523.6</v>
      </c>
      <c r="M6" s="31">
        <v>141357.37000000002</v>
      </c>
      <c r="N6" s="31">
        <v>138469</v>
      </c>
      <c r="O6" s="31">
        <v>127792</v>
      </c>
      <c r="P6" s="31">
        <v>86538.941209191165</v>
      </c>
      <c r="Q6" s="31">
        <v>117414.16784279092</v>
      </c>
      <c r="R6" s="31">
        <v>114824</v>
      </c>
      <c r="S6" s="31">
        <v>108514.8</v>
      </c>
      <c r="T6" s="31">
        <v>95016.1</v>
      </c>
      <c r="U6" s="31">
        <v>92063.96</v>
      </c>
      <c r="V6" s="32">
        <v>70484</v>
      </c>
    </row>
    <row r="7" spans="1:28">
      <c r="A7" s="50" t="s">
        <v>8</v>
      </c>
      <c r="B7" s="51">
        <f t="shared" si="0"/>
        <v>-1.3086993470549091E-3</v>
      </c>
      <c r="C7" s="132">
        <f>E7-[1]Italy!C7</f>
        <v>-51856.166858060256</v>
      </c>
      <c r="D7" s="31">
        <f>F7-[1]Italy!D7</f>
        <v>-51355.857195348537</v>
      </c>
      <c r="E7" s="164">
        <v>127058.15217072394</v>
      </c>
      <c r="F7" s="31">
        <v>127224.65098840176</v>
      </c>
      <c r="G7" s="31">
        <v>155372.63569215324</v>
      </c>
      <c r="H7" s="31">
        <v>138420.76799999998</v>
      </c>
      <c r="I7" s="31">
        <v>140710</v>
      </c>
      <c r="J7" s="31">
        <v>139775</v>
      </c>
      <c r="K7" s="31">
        <v>89903</v>
      </c>
      <c r="L7" s="31">
        <v>110398</v>
      </c>
      <c r="M7" s="31">
        <v>103021.175</v>
      </c>
      <c r="N7" s="31">
        <v>108251</v>
      </c>
      <c r="O7" s="31">
        <v>101080</v>
      </c>
      <c r="P7" s="31">
        <v>78928.64208136432</v>
      </c>
      <c r="Q7" s="31">
        <v>110641.71936337168</v>
      </c>
      <c r="R7" s="31">
        <v>120664</v>
      </c>
      <c r="S7" s="31">
        <v>110075.79</v>
      </c>
      <c r="T7" s="31">
        <v>103517</v>
      </c>
      <c r="U7" s="31">
        <v>89692.35</v>
      </c>
      <c r="V7" s="32">
        <v>71921</v>
      </c>
    </row>
    <row r="8" spans="1:28">
      <c r="A8" s="50" t="s">
        <v>13</v>
      </c>
      <c r="B8" s="51" t="str">
        <f t="shared" si="0"/>
        <v/>
      </c>
      <c r="C8" s="132">
        <f>E8-[1]Italy!C8</f>
        <v>0</v>
      </c>
      <c r="D8" s="31">
        <f>F8-[1]Italy!D8</f>
        <v>0</v>
      </c>
      <c r="E8" s="164"/>
      <c r="F8" s="31"/>
      <c r="G8" s="31"/>
      <c r="H8" s="31"/>
      <c r="I8" s="31">
        <v>0</v>
      </c>
      <c r="J8" s="31">
        <v>6</v>
      </c>
      <c r="K8" s="31">
        <v>18</v>
      </c>
      <c r="L8" s="31">
        <v>30</v>
      </c>
      <c r="M8" s="31">
        <v>49</v>
      </c>
      <c r="N8" s="31">
        <v>35</v>
      </c>
      <c r="O8" s="31">
        <v>65</v>
      </c>
      <c r="P8" s="31">
        <v>65.199610295076454</v>
      </c>
      <c r="Q8" s="31">
        <v>46.111993791190756</v>
      </c>
      <c r="R8" s="31">
        <v>63</v>
      </c>
      <c r="S8" s="31">
        <v>229.75</v>
      </c>
      <c r="T8" s="31">
        <v>369</v>
      </c>
      <c r="U8" s="31">
        <v>374.3</v>
      </c>
      <c r="V8" s="32">
        <v>479</v>
      </c>
    </row>
    <row r="9" spans="1:28">
      <c r="A9" s="50" t="s">
        <v>2</v>
      </c>
      <c r="B9" s="51">
        <f t="shared" si="0"/>
        <v>0.21218843593293268</v>
      </c>
      <c r="C9" s="132">
        <f>E9-[1]Italy!C9</f>
        <v>-51176.238840291568</v>
      </c>
      <c r="D9" s="31">
        <f>F9-[1]Italy!D9</f>
        <v>-47928.21681281802</v>
      </c>
      <c r="E9" s="164">
        <v>516838.97111734626</v>
      </c>
      <c r="F9" s="31">
        <v>426368.50492602919</v>
      </c>
      <c r="G9" s="31">
        <v>550778.90113938204</v>
      </c>
      <c r="H9" s="31">
        <v>515835.24600000004</v>
      </c>
      <c r="I9" s="31">
        <v>575590</v>
      </c>
      <c r="J9" s="70">
        <v>608049</v>
      </c>
      <c r="K9" s="70">
        <v>364616</v>
      </c>
      <c r="L9" s="31">
        <v>696382.6</v>
      </c>
      <c r="M9" s="70">
        <v>704665.375</v>
      </c>
      <c r="N9" s="70">
        <v>750628</v>
      </c>
      <c r="O9" s="70">
        <v>665371</v>
      </c>
      <c r="P9" s="70">
        <v>657522.02069100412</v>
      </c>
      <c r="Q9" s="70">
        <v>707460.23309092491</v>
      </c>
      <c r="R9" s="70">
        <v>704476</v>
      </c>
      <c r="S9" s="70">
        <v>723097.29</v>
      </c>
      <c r="T9" s="70">
        <v>726466.1</v>
      </c>
      <c r="U9" s="31">
        <v>680262.42</v>
      </c>
      <c r="V9" s="32">
        <v>608714</v>
      </c>
    </row>
    <row r="10" spans="1:28">
      <c r="A10" s="50" t="s">
        <v>16</v>
      </c>
      <c r="B10" s="51">
        <f t="shared" si="0"/>
        <v>-0.29454930361988119</v>
      </c>
      <c r="C10" s="132">
        <f>E10-[1]Italy!C10</f>
        <v>-6141.9419542312098</v>
      </c>
      <c r="D10" s="31">
        <f>F10-[1]Italy!D10</f>
        <v>3024.5239765447914</v>
      </c>
      <c r="E10" s="164">
        <v>81828.261518235464</v>
      </c>
      <c r="F10" s="31">
        <v>115994.30256164046</v>
      </c>
      <c r="G10" s="31">
        <v>82662.495965402093</v>
      </c>
      <c r="H10" s="31">
        <v>108946.098</v>
      </c>
      <c r="I10" s="31">
        <v>74984</v>
      </c>
      <c r="J10" s="70">
        <v>101831</v>
      </c>
      <c r="K10" s="70">
        <v>99546</v>
      </c>
      <c r="L10" s="31">
        <v>92276.800000000003</v>
      </c>
      <c r="M10" s="70">
        <v>103776.56</v>
      </c>
      <c r="N10" s="70">
        <v>116590</v>
      </c>
      <c r="O10" s="70">
        <v>95114</v>
      </c>
      <c r="P10" s="70">
        <v>64573.694036243716</v>
      </c>
      <c r="Q10" s="70">
        <v>76861.676607381552</v>
      </c>
      <c r="R10" s="70">
        <v>76358</v>
      </c>
      <c r="S10" s="70">
        <v>77055.37</v>
      </c>
      <c r="T10" s="70">
        <v>70687.100000000006</v>
      </c>
      <c r="U10" s="31">
        <v>61534.895000000004</v>
      </c>
      <c r="V10" s="32">
        <v>59021</v>
      </c>
    </row>
    <row r="11" spans="1:28">
      <c r="A11" s="50" t="s">
        <v>9</v>
      </c>
      <c r="B11" s="51" t="str">
        <f t="shared" si="0"/>
        <v/>
      </c>
      <c r="C11" s="132">
        <f>E11-[1]Italy!C11</f>
        <v>0</v>
      </c>
      <c r="D11" s="31">
        <f>F11-[1]Italy!D11</f>
        <v>0</v>
      </c>
      <c r="E11" s="164"/>
      <c r="F11" s="31"/>
      <c r="G11" s="31"/>
      <c r="H11" s="31"/>
      <c r="I11" s="31">
        <v>0</v>
      </c>
      <c r="J11" s="70">
        <v>631</v>
      </c>
      <c r="K11" s="70">
        <v>815</v>
      </c>
      <c r="L11" s="31">
        <v>667</v>
      </c>
      <c r="M11" s="70">
        <v>1442.3</v>
      </c>
      <c r="N11" s="70">
        <v>670</v>
      </c>
      <c r="O11" s="70">
        <v>2365</v>
      </c>
      <c r="P11" s="70">
        <v>2054.2892597587165</v>
      </c>
      <c r="Q11" s="70">
        <v>2087.068936375199</v>
      </c>
      <c r="R11" s="70">
        <v>2990</v>
      </c>
      <c r="S11" s="70">
        <v>3016.9</v>
      </c>
      <c r="T11" s="70">
        <v>3432</v>
      </c>
      <c r="U11" s="31">
        <v>3620.3</v>
      </c>
      <c r="V11" s="32">
        <v>4030</v>
      </c>
    </row>
    <row r="12" spans="1:28">
      <c r="A12" s="50" t="s">
        <v>26</v>
      </c>
      <c r="B12" s="51">
        <f t="shared" si="0"/>
        <v>-0.26758240342241579</v>
      </c>
      <c r="C12" s="132">
        <f>E12-[1]Italy!C12</f>
        <v>-140</v>
      </c>
      <c r="D12" s="31">
        <f>F12-[1]Italy!D12</f>
        <v>-64.949999999999818</v>
      </c>
      <c r="E12" s="164">
        <v>1421</v>
      </c>
      <c r="F12" s="31">
        <v>1940.15</v>
      </c>
      <c r="G12" s="31">
        <v>3622.7000000000003</v>
      </c>
      <c r="H12" s="31">
        <v>2129.9</v>
      </c>
      <c r="I12" s="31">
        <v>4284</v>
      </c>
      <c r="J12" s="70">
        <v>4800</v>
      </c>
      <c r="K12" s="70">
        <v>3328</v>
      </c>
      <c r="L12" s="31">
        <v>4565.8</v>
      </c>
      <c r="M12" s="70">
        <v>8203</v>
      </c>
      <c r="N12" s="70">
        <v>8225</v>
      </c>
      <c r="O12" s="70">
        <v>10776</v>
      </c>
      <c r="P12" s="70">
        <v>7852.0392213824371</v>
      </c>
      <c r="Q12" s="70">
        <v>12774.024714807474</v>
      </c>
      <c r="R12" s="70">
        <v>12150</v>
      </c>
      <c r="S12" s="70">
        <v>18229</v>
      </c>
      <c r="T12" s="70">
        <v>18980</v>
      </c>
      <c r="U12" s="31">
        <v>21979.200000000001</v>
      </c>
      <c r="V12" s="32">
        <v>21795</v>
      </c>
    </row>
    <row r="13" spans="1:28">
      <c r="A13" s="50" t="s">
        <v>49</v>
      </c>
      <c r="B13" s="51" t="str">
        <f t="shared" si="0"/>
        <v/>
      </c>
      <c r="C13" s="132">
        <f>E13-[1]Italy!C13</f>
        <v>0</v>
      </c>
      <c r="D13" s="31">
        <f>F13-[1]Italy!D13</f>
        <v>0</v>
      </c>
      <c r="E13" s="164"/>
      <c r="F13" s="31"/>
      <c r="G13" s="31"/>
      <c r="H13" s="31"/>
      <c r="I13" s="31">
        <v>0</v>
      </c>
      <c r="J13" s="70">
        <v>0</v>
      </c>
      <c r="K13" s="70">
        <v>0</v>
      </c>
      <c r="L13" s="31">
        <v>0</v>
      </c>
      <c r="M13" s="70">
        <v>7</v>
      </c>
      <c r="N13" s="70">
        <v>8</v>
      </c>
      <c r="O13" s="70">
        <v>0</v>
      </c>
      <c r="P13" s="70">
        <v>1.0030709276165608</v>
      </c>
      <c r="Q13" s="70">
        <v>7.0170425334420718</v>
      </c>
      <c r="R13" s="70">
        <v>1</v>
      </c>
      <c r="S13" s="70">
        <v>4.62</v>
      </c>
      <c r="T13" s="70">
        <v>10</v>
      </c>
      <c r="U13" s="31">
        <v>32</v>
      </c>
      <c r="V13" s="32">
        <v>87</v>
      </c>
    </row>
    <row r="14" spans="1:28">
      <c r="A14" s="50" t="s">
        <v>124</v>
      </c>
      <c r="B14" s="51">
        <f t="shared" si="0"/>
        <v>-7.2436163928525477E-2</v>
      </c>
      <c r="C14" s="132">
        <f>E14-[1]Italy!C14</f>
        <v>-2288.8027979741528</v>
      </c>
      <c r="D14" s="31">
        <f>F14-[1]Italy!D14</f>
        <v>-2748.5381151226775</v>
      </c>
      <c r="E14" s="164">
        <v>14506.852021060015</v>
      </c>
      <c r="F14" s="31">
        <v>15639.734384752546</v>
      </c>
      <c r="G14" s="31">
        <v>16497.456237868468</v>
      </c>
      <c r="H14" s="31">
        <v>20586.154000000002</v>
      </c>
      <c r="I14" s="31">
        <v>22074</v>
      </c>
      <c r="J14" s="70">
        <v>23355</v>
      </c>
      <c r="K14" s="70">
        <v>18463</v>
      </c>
      <c r="L14" s="31">
        <v>23139.200000000001</v>
      </c>
      <c r="M14" s="70">
        <v>25805.7</v>
      </c>
      <c r="N14" s="70">
        <v>31824</v>
      </c>
      <c r="O14" s="70">
        <v>25616</v>
      </c>
      <c r="P14" s="70">
        <v>26016.650649590734</v>
      </c>
      <c r="Q14" s="70">
        <v>17180.727425809095</v>
      </c>
      <c r="R14" s="70">
        <v>46392</v>
      </c>
      <c r="S14" s="70">
        <v>35343.760000000002</v>
      </c>
      <c r="T14" s="70">
        <v>51007.3</v>
      </c>
      <c r="U14" s="31">
        <v>46673.095000000001</v>
      </c>
      <c r="V14" s="32">
        <v>35281</v>
      </c>
    </row>
    <row r="15" spans="1:28">
      <c r="A15" s="50" t="s">
        <v>12</v>
      </c>
      <c r="B15" s="51">
        <f t="shared" si="0"/>
        <v>9.9047514175685247E-3</v>
      </c>
      <c r="C15" s="132">
        <f>E15-[1]Italy!C15</f>
        <v>-1461.5799999999945</v>
      </c>
      <c r="D15" s="31">
        <f>F15-[1]Italy!D15</f>
        <v>2383.3689999999988</v>
      </c>
      <c r="E15" s="164">
        <v>37382.300000000003</v>
      </c>
      <c r="F15" s="31">
        <v>37015.669000000002</v>
      </c>
      <c r="G15" s="31">
        <v>37217.5</v>
      </c>
      <c r="H15" s="31">
        <v>38168</v>
      </c>
      <c r="I15" s="31">
        <v>32404</v>
      </c>
      <c r="J15" s="70">
        <v>28005</v>
      </c>
      <c r="K15" s="70"/>
      <c r="L15" s="31"/>
      <c r="M15" s="70"/>
      <c r="N15" s="70"/>
      <c r="O15" s="70"/>
      <c r="P15" s="70"/>
      <c r="Q15" s="70"/>
      <c r="R15" s="70"/>
      <c r="S15" s="70"/>
      <c r="T15" s="70"/>
      <c r="U15" s="31"/>
      <c r="V15" s="32"/>
    </row>
    <row r="16" spans="1:28">
      <c r="A16" s="50" t="s">
        <v>18</v>
      </c>
      <c r="B16" s="51">
        <f t="shared" si="0"/>
        <v>-0.32622466189121679</v>
      </c>
      <c r="C16" s="132">
        <f>E16-[1]Italy!C16</f>
        <v>-24886.430459883224</v>
      </c>
      <c r="D16" s="31">
        <f>F16-[1]Italy!D16</f>
        <v>-16620.401713443978</v>
      </c>
      <c r="E16" s="164">
        <v>102224.18399911653</v>
      </c>
      <c r="F16" s="31">
        <v>151718.50054062399</v>
      </c>
      <c r="G16" s="31">
        <v>130037.61899160707</v>
      </c>
      <c r="H16" s="31">
        <v>165623.70200000002</v>
      </c>
      <c r="I16" s="31">
        <v>150707</v>
      </c>
      <c r="J16" s="70">
        <v>188267</v>
      </c>
      <c r="K16" s="70">
        <v>117439</v>
      </c>
      <c r="L16" s="31">
        <v>171434.1</v>
      </c>
      <c r="M16" s="70">
        <v>175647.33000000002</v>
      </c>
      <c r="N16" s="70">
        <v>174233</v>
      </c>
      <c r="O16" s="70">
        <v>156991</v>
      </c>
      <c r="P16" s="70">
        <v>120464.80612303848</v>
      </c>
      <c r="Q16" s="70">
        <v>152763.02082232918</v>
      </c>
      <c r="R16" s="70">
        <v>165519</v>
      </c>
      <c r="S16" s="70">
        <v>172472.8</v>
      </c>
      <c r="T16" s="70">
        <v>145910.02499999999</v>
      </c>
      <c r="U16" s="31">
        <v>137632.77499999999</v>
      </c>
      <c r="V16" s="32">
        <v>154828</v>
      </c>
    </row>
    <row r="17" spans="1:25">
      <c r="A17" s="50" t="s">
        <v>144</v>
      </c>
      <c r="B17" s="51">
        <f t="shared" si="0"/>
        <v>-0.44025368509973462</v>
      </c>
      <c r="C17" s="132">
        <f>E17-[1]Italy!C17</f>
        <v>-2108.1330000000016</v>
      </c>
      <c r="D17" s="31">
        <f>F17-[1]Italy!D17</f>
        <v>-1522.2329999999965</v>
      </c>
      <c r="E17" s="164">
        <v>13138.417000000001</v>
      </c>
      <c r="F17" s="31">
        <v>23472.092000000001</v>
      </c>
      <c r="G17" s="31">
        <v>16067.143999999998</v>
      </c>
      <c r="H17" s="31">
        <v>25733.749</v>
      </c>
      <c r="I17" s="31">
        <v>15426</v>
      </c>
      <c r="J17" s="70">
        <v>25909</v>
      </c>
      <c r="K17" s="70">
        <v>4722</v>
      </c>
      <c r="L17" s="31">
        <v>21797.199999999997</v>
      </c>
      <c r="M17" s="70">
        <v>20580.2</v>
      </c>
      <c r="N17" s="70">
        <v>23273</v>
      </c>
      <c r="O17" s="70">
        <v>39855</v>
      </c>
      <c r="P17" s="70"/>
      <c r="Q17" s="70">
        <v>17213.807769181036</v>
      </c>
      <c r="R17" s="70">
        <v>18316</v>
      </c>
      <c r="S17" s="70">
        <v>15432</v>
      </c>
      <c r="T17" s="70">
        <v>13671</v>
      </c>
      <c r="U17" s="31">
        <v>16113</v>
      </c>
      <c r="V17" s="32">
        <v>8531</v>
      </c>
    </row>
    <row r="18" spans="1:25">
      <c r="A18" s="50" t="s">
        <v>19</v>
      </c>
      <c r="B18" s="51" t="str">
        <f t="shared" si="0"/>
        <v/>
      </c>
      <c r="C18" s="132">
        <f>E18-[1]Italy!C18</f>
        <v>0</v>
      </c>
      <c r="D18" s="31">
        <f>F18-[1]Italy!D18</f>
        <v>0</v>
      </c>
      <c r="E18" s="164"/>
      <c r="F18" s="31"/>
      <c r="G18" s="31"/>
      <c r="H18" s="31"/>
      <c r="I18" s="31">
        <v>0</v>
      </c>
      <c r="J18" s="70">
        <v>4177</v>
      </c>
      <c r="K18" s="70">
        <v>4407</v>
      </c>
      <c r="L18" s="31">
        <v>8865.6</v>
      </c>
      <c r="M18" s="70">
        <v>8597.4</v>
      </c>
      <c r="N18" s="70">
        <v>10762</v>
      </c>
      <c r="O18" s="70">
        <v>7130</v>
      </c>
      <c r="P18" s="70">
        <v>3342.2323308183804</v>
      </c>
      <c r="Q18" s="70">
        <v>8859.517415794433</v>
      </c>
      <c r="R18" s="70">
        <v>8884</v>
      </c>
      <c r="S18" s="70">
        <v>5689.08</v>
      </c>
      <c r="T18" s="70">
        <v>7379.2</v>
      </c>
      <c r="U18" s="31">
        <v>5219.8</v>
      </c>
      <c r="V18" s="32">
        <v>10514</v>
      </c>
    </row>
    <row r="19" spans="1:25" ht="13.8" thickBot="1">
      <c r="A19" s="72" t="s">
        <v>58</v>
      </c>
      <c r="B19" s="51">
        <f t="shared" si="0"/>
        <v>0.33715482063502011</v>
      </c>
      <c r="C19" s="134">
        <f>E19-[1]Italy!C19</f>
        <v>11272.143657444598</v>
      </c>
      <c r="D19" s="35">
        <f>F19-[1]Italy!D19</f>
        <v>-2684.9338478694845</v>
      </c>
      <c r="E19" s="166">
        <v>219352.01374078059</v>
      </c>
      <c r="F19" s="35">
        <v>164043.8417120685</v>
      </c>
      <c r="G19" s="35">
        <v>121184.55680474744</v>
      </c>
      <c r="H19" s="35">
        <v>90353</v>
      </c>
      <c r="I19" s="35">
        <f>17747+63119</f>
        <v>80866</v>
      </c>
      <c r="J19" s="73">
        <v>80420</v>
      </c>
      <c r="K19" s="73">
        <v>55371</v>
      </c>
      <c r="L19" s="35">
        <v>71355.3</v>
      </c>
      <c r="M19" s="73">
        <v>55375.9</v>
      </c>
      <c r="N19" s="73">
        <v>60736</v>
      </c>
      <c r="O19" s="73">
        <v>54685</v>
      </c>
      <c r="P19" s="73">
        <v>30875.526222965356</v>
      </c>
      <c r="Q19" s="73">
        <v>35583.422687084749</v>
      </c>
      <c r="R19" s="73">
        <v>28610</v>
      </c>
      <c r="S19" s="73">
        <v>97156.56</v>
      </c>
      <c r="T19" s="73">
        <v>70629.5</v>
      </c>
      <c r="U19" s="35">
        <v>44555.729999999996</v>
      </c>
      <c r="V19" s="36">
        <v>53273</v>
      </c>
    </row>
    <row r="20" spans="1:25" ht="13.8" thickBot="1">
      <c r="A20" s="74" t="s">
        <v>22</v>
      </c>
      <c r="B20" s="38">
        <f t="shared" si="0"/>
        <v>4.0675870033155759E-2</v>
      </c>
      <c r="C20" s="135">
        <f>E20-[1]Italy!C20</f>
        <v>-61794.07907396066</v>
      </c>
      <c r="D20" s="55">
        <f>F20-[1]Italy!D20</f>
        <v>-122681.67143473774</v>
      </c>
      <c r="E20" s="167">
        <f>SUM(E2:E19)</f>
        <v>1380125.7278411819</v>
      </c>
      <c r="F20" s="55">
        <f>SUM(F2:F19)</f>
        <v>1326182.1164328633</v>
      </c>
      <c r="G20" s="55">
        <f>SUM(G2:G19)</f>
        <v>1357556.4518311606</v>
      </c>
      <c r="H20" s="55">
        <f>SUM(H2:H19)</f>
        <v>1364134.9950000001</v>
      </c>
      <c r="I20" s="55">
        <f>SUM(I2:I19)</f>
        <v>1349020</v>
      </c>
      <c r="J20" s="55">
        <v>1491242</v>
      </c>
      <c r="K20" s="55">
        <v>1007499</v>
      </c>
      <c r="L20" s="55">
        <f>SUM(L2:L19)</f>
        <v>1487735.7000000002</v>
      </c>
      <c r="M20" s="55">
        <f>SUM(M2:M19)</f>
        <v>1494682.91</v>
      </c>
      <c r="N20" s="55">
        <f>SUM(N2:N19)</f>
        <v>1601128</v>
      </c>
      <c r="O20" s="55">
        <f>SUM(O2:O19)</f>
        <v>1407093</v>
      </c>
      <c r="P20" s="55">
        <f>SUM(P2:P19)</f>
        <v>1215407</v>
      </c>
      <c r="Q20" s="55">
        <f t="shared" ref="Q20:V20" si="1">SUM(Q2:Q19)</f>
        <v>1423375</v>
      </c>
      <c r="R20" s="55">
        <f t="shared" si="1"/>
        <v>1442097</v>
      </c>
      <c r="S20" s="55">
        <f t="shared" si="1"/>
        <v>1453791.7800000003</v>
      </c>
      <c r="T20" s="55">
        <f t="shared" si="1"/>
        <v>1399479.5249999999</v>
      </c>
      <c r="U20" s="55">
        <f t="shared" si="1"/>
        <v>1298109.0249999999</v>
      </c>
      <c r="V20" s="56">
        <f t="shared" si="1"/>
        <v>1197785</v>
      </c>
    </row>
    <row r="21" spans="1:25">
      <c r="B21" s="57"/>
      <c r="C21" s="57"/>
      <c r="D21" s="57"/>
      <c r="E21" s="57"/>
      <c r="F21" s="57"/>
      <c r="G21" s="57"/>
      <c r="H21" s="57"/>
      <c r="I21" s="57"/>
      <c r="L21" s="57"/>
    </row>
    <row r="22" spans="1:25" ht="13.8" thickBot="1">
      <c r="B22" s="57"/>
      <c r="C22" s="57"/>
      <c r="D22" s="57"/>
      <c r="E22" s="57"/>
      <c r="F22" s="57"/>
      <c r="G22" s="57"/>
      <c r="H22" s="57"/>
      <c r="I22" s="57"/>
      <c r="L22" s="57"/>
    </row>
    <row r="23" spans="1:25" ht="13.8" thickBot="1">
      <c r="A23" s="27" t="s">
        <v>24</v>
      </c>
      <c r="B23" s="12" t="s">
        <v>184</v>
      </c>
      <c r="C23" s="117" t="s">
        <v>185</v>
      </c>
      <c r="D23" s="42" t="s">
        <v>179</v>
      </c>
      <c r="E23" s="156">
        <v>45261</v>
      </c>
      <c r="F23" s="13">
        <v>44896</v>
      </c>
      <c r="G23" s="13">
        <v>44531</v>
      </c>
      <c r="H23" s="13">
        <v>44166</v>
      </c>
      <c r="I23" s="13">
        <v>43800</v>
      </c>
      <c r="J23" s="28">
        <v>43435</v>
      </c>
      <c r="K23" s="28">
        <v>43070</v>
      </c>
      <c r="L23" s="13">
        <v>42705</v>
      </c>
      <c r="M23" s="28">
        <f>M1</f>
        <v>42339</v>
      </c>
      <c r="N23" s="28">
        <f>N1</f>
        <v>41974</v>
      </c>
      <c r="O23" s="28">
        <v>41609</v>
      </c>
      <c r="P23" s="28">
        <v>41244</v>
      </c>
      <c r="Q23" s="28">
        <v>40878</v>
      </c>
      <c r="R23" s="28">
        <v>40513</v>
      </c>
      <c r="S23" s="28">
        <v>40148</v>
      </c>
      <c r="T23" s="28">
        <v>39783</v>
      </c>
      <c r="U23" s="28">
        <v>39417</v>
      </c>
      <c r="V23" s="44">
        <v>39052</v>
      </c>
    </row>
    <row r="24" spans="1:25">
      <c r="A24" s="50" t="s">
        <v>99</v>
      </c>
      <c r="B24" s="51">
        <f t="shared" ref="B24:B29" si="2">IFERROR((E24/F24-1), "")</f>
        <v>-0.74778576356158144</v>
      </c>
      <c r="C24" s="132">
        <f>E24-[1]Italy!C24</f>
        <v>-8323.7698416244675</v>
      </c>
      <c r="D24" s="31">
        <f>F24-[1]Italy!D24</f>
        <v>-22720</v>
      </c>
      <c r="E24" s="164">
        <v>13541.382354378689</v>
      </c>
      <c r="F24" s="31">
        <v>53690</v>
      </c>
      <c r="G24" s="31">
        <v>18506.814974007775</v>
      </c>
      <c r="H24" s="31">
        <v>123603.95069820629</v>
      </c>
      <c r="I24" s="31">
        <v>57060.605919378584</v>
      </c>
      <c r="J24" s="31">
        <v>156648.07633423616</v>
      </c>
      <c r="K24" s="31">
        <v>188252</v>
      </c>
      <c r="L24" s="31">
        <v>160810.63274927204</v>
      </c>
      <c r="M24" s="31">
        <v>190239.85244829967</v>
      </c>
      <c r="N24" s="31">
        <v>195211.58559709601</v>
      </c>
      <c r="O24" s="31">
        <v>220635.27677052101</v>
      </c>
      <c r="P24" s="31">
        <v>152771</v>
      </c>
      <c r="Q24" s="31">
        <v>263695</v>
      </c>
      <c r="R24" s="31">
        <v>102895</v>
      </c>
      <c r="S24" s="31">
        <v>137083</v>
      </c>
      <c r="T24" s="31">
        <v>119837</v>
      </c>
      <c r="U24" s="31">
        <v>130556</v>
      </c>
      <c r="V24" s="32">
        <v>156944</v>
      </c>
    </row>
    <row r="25" spans="1:25">
      <c r="A25" s="50" t="s">
        <v>6</v>
      </c>
      <c r="B25" s="51">
        <f t="shared" si="2"/>
        <v>-0.46891235669957276</v>
      </c>
      <c r="C25" s="132">
        <f>E25-[1]Italy!C25</f>
        <v>-33.62875954460651</v>
      </c>
      <c r="D25" s="31">
        <f>F25-[1]Italy!D25</f>
        <v>-880</v>
      </c>
      <c r="E25" s="164">
        <v>4859.4519361989096</v>
      </c>
      <c r="F25" s="31">
        <v>9150</v>
      </c>
      <c r="G25" s="31">
        <v>8068.6154188900155</v>
      </c>
      <c r="H25" s="31">
        <v>23629.963095953943</v>
      </c>
      <c r="I25" s="31">
        <v>11603.439199708177</v>
      </c>
      <c r="J25" s="31">
        <v>31351.567449123257</v>
      </c>
      <c r="K25" s="31">
        <v>34980</v>
      </c>
      <c r="L25" s="31">
        <v>37568</v>
      </c>
      <c r="M25" s="31">
        <v>43074</v>
      </c>
      <c r="N25" s="31">
        <v>47439.1616980771</v>
      </c>
      <c r="O25" s="31">
        <v>53942</v>
      </c>
      <c r="P25" s="31">
        <v>54049</v>
      </c>
      <c r="Q25" s="31">
        <v>88092</v>
      </c>
      <c r="R25" s="31">
        <v>50684</v>
      </c>
      <c r="S25" s="31">
        <v>72113</v>
      </c>
      <c r="T25" s="31">
        <v>62683</v>
      </c>
      <c r="U25" s="31">
        <v>70702</v>
      </c>
      <c r="V25" s="32">
        <v>71184</v>
      </c>
    </row>
    <row r="26" spans="1:25">
      <c r="A26" s="50" t="s">
        <v>125</v>
      </c>
      <c r="B26" s="51">
        <f t="shared" si="2"/>
        <v>-0.69162995594713661</v>
      </c>
      <c r="C26" s="132">
        <f>E26-[1]Italy!C26</f>
        <v>-376.81690194336102</v>
      </c>
      <c r="D26" s="31">
        <f>F26-[1]Italy!D26</f>
        <v>-170</v>
      </c>
      <c r="E26" s="164">
        <v>700</v>
      </c>
      <c r="F26" s="31">
        <v>2270</v>
      </c>
      <c r="G26" s="31">
        <v>2922.2508248513645</v>
      </c>
      <c r="H26" s="31">
        <v>6945.5854656078318</v>
      </c>
      <c r="I26" s="31">
        <v>4058.5424846245978</v>
      </c>
      <c r="J26" s="31"/>
      <c r="K26" s="31">
        <v>8708</v>
      </c>
      <c r="L26" s="31">
        <v>7450.2657559052068</v>
      </c>
      <c r="M26" s="31">
        <v>11730.194743571272</v>
      </c>
      <c r="N26" s="31">
        <v>12187.154609017</v>
      </c>
      <c r="O26" s="31">
        <v>18920.082102014199</v>
      </c>
      <c r="P26" s="31">
        <v>13590</v>
      </c>
      <c r="Q26" s="31">
        <v>22869</v>
      </c>
      <c r="R26" s="31">
        <v>20466</v>
      </c>
      <c r="S26" s="31">
        <v>23063</v>
      </c>
      <c r="T26" s="31">
        <v>18319</v>
      </c>
      <c r="U26" s="31">
        <v>21142</v>
      </c>
      <c r="V26" s="32">
        <v>33157</v>
      </c>
      <c r="Y26" s="25"/>
    </row>
    <row r="27" spans="1:25">
      <c r="A27" s="50" t="s">
        <v>29</v>
      </c>
      <c r="B27" s="51">
        <f t="shared" si="2"/>
        <v>-0.57034405556337431</v>
      </c>
      <c r="C27" s="132">
        <f>E27-[1]Italy!C27</f>
        <v>-883.13310959561022</v>
      </c>
      <c r="D27" s="31">
        <f>F27-[1]Italy!D27</f>
        <v>-580</v>
      </c>
      <c r="E27" s="164">
        <v>3944.2415699282237</v>
      </c>
      <c r="F27" s="31">
        <v>9180</v>
      </c>
      <c r="G27" s="31">
        <v>5142.4802740449477</v>
      </c>
      <c r="H27" s="31">
        <v>25656.289950113969</v>
      </c>
      <c r="I27" s="31">
        <v>8438.3165861742236</v>
      </c>
      <c r="J27" s="31">
        <v>24119.809259286663</v>
      </c>
      <c r="K27" s="31">
        <v>25577</v>
      </c>
      <c r="L27" s="31">
        <v>21392</v>
      </c>
      <c r="M27" s="31">
        <v>30103</v>
      </c>
      <c r="N27" s="31">
        <v>23589.152289198999</v>
      </c>
      <c r="O27" s="31">
        <v>39673.985172242901</v>
      </c>
      <c r="P27" s="31">
        <v>24182</v>
      </c>
      <c r="Q27" s="31">
        <v>41960</v>
      </c>
      <c r="R27" s="31">
        <v>21370</v>
      </c>
      <c r="S27" s="31">
        <v>38019</v>
      </c>
      <c r="T27" s="31">
        <v>17509</v>
      </c>
      <c r="U27" s="31">
        <v>35267</v>
      </c>
      <c r="V27" s="32"/>
    </row>
    <row r="28" spans="1:25" ht="13.8" thickBot="1">
      <c r="A28" s="52" t="s">
        <v>58</v>
      </c>
      <c r="B28" s="51">
        <f t="shared" si="2"/>
        <v>-0.56501619620546051</v>
      </c>
      <c r="C28" s="132">
        <f>E28-[1]Italy!C28</f>
        <v>-9003.3173697590901</v>
      </c>
      <c r="D28" s="31">
        <f>F28-[1]Italy!D28</f>
        <v>-12129.972516282884</v>
      </c>
      <c r="E28" s="164">
        <v>9400</v>
      </c>
      <c r="F28" s="31">
        <v>21610</v>
      </c>
      <c r="G28" s="31">
        <v>20808.464983831465</v>
      </c>
      <c r="H28" s="31">
        <v>41101.111076315108</v>
      </c>
      <c r="I28" s="31">
        <v>27330.830217237191</v>
      </c>
      <c r="J28" s="31">
        <v>35910.500963122453</v>
      </c>
      <c r="K28" s="31">
        <v>28481</v>
      </c>
      <c r="L28" s="35">
        <v>27099.445297777282</v>
      </c>
      <c r="M28" s="35">
        <v>41395.140415975882</v>
      </c>
      <c r="N28" s="35">
        <v>35516.251494857366</v>
      </c>
      <c r="O28" s="35">
        <v>68374.445212805906</v>
      </c>
      <c r="P28" s="35">
        <v>40624</v>
      </c>
      <c r="Q28" s="35">
        <v>54938</v>
      </c>
      <c r="R28" s="35">
        <v>21553</v>
      </c>
      <c r="S28" s="35">
        <v>26972</v>
      </c>
      <c r="T28" s="35">
        <v>19056</v>
      </c>
      <c r="U28" s="35">
        <v>21159</v>
      </c>
      <c r="V28" s="36">
        <v>55032</v>
      </c>
    </row>
    <row r="29" spans="1:25" s="45" customFormat="1" ht="13.8" thickBot="1">
      <c r="A29" s="37" t="s">
        <v>22</v>
      </c>
      <c r="B29" s="38">
        <f t="shared" si="2"/>
        <v>-0.66167804107918848</v>
      </c>
      <c r="C29" s="133">
        <f>E29-[1]Italy!C29</f>
        <v>-18620.665982467133</v>
      </c>
      <c r="D29" s="39">
        <f>F29-[1]Italy!D29</f>
        <v>-36479.972516282869</v>
      </c>
      <c r="E29" s="163">
        <f>SUM(E24:E28)</f>
        <v>32445.075860505825</v>
      </c>
      <c r="F29" s="39">
        <f>SUM(F24:F28)</f>
        <v>95900</v>
      </c>
      <c r="G29" s="39">
        <f>SUM(G24:G28)</f>
        <v>55448.62647562557</v>
      </c>
      <c r="H29" s="39">
        <f>SUM(H24:H28)</f>
        <v>220936.90028619717</v>
      </c>
      <c r="I29" s="39">
        <f>SUM(I24:I28)</f>
        <v>108491.73440712279</v>
      </c>
      <c r="J29" s="39">
        <v>255781.3965072959</v>
      </c>
      <c r="K29" s="39">
        <v>285998</v>
      </c>
      <c r="L29" s="55">
        <f>SUM(L24:L28)</f>
        <v>254320.34380295454</v>
      </c>
      <c r="M29" s="55">
        <f>SUM(M24:M28)</f>
        <v>316542.18760784686</v>
      </c>
      <c r="N29" s="55">
        <f>SUM(N24:N28)</f>
        <v>313943.30568824644</v>
      </c>
      <c r="O29" s="55">
        <f>SUM(O24:O28)</f>
        <v>401545.78925758402</v>
      </c>
      <c r="P29" s="55">
        <f t="shared" ref="P29:V29" si="3">SUM(P24:P28)</f>
        <v>285216</v>
      </c>
      <c r="Q29" s="55">
        <f t="shared" si="3"/>
        <v>471554</v>
      </c>
      <c r="R29" s="55">
        <f t="shared" si="3"/>
        <v>216968</v>
      </c>
      <c r="S29" s="55">
        <f t="shared" si="3"/>
        <v>297250</v>
      </c>
      <c r="T29" s="55">
        <f t="shared" si="3"/>
        <v>237404</v>
      </c>
      <c r="U29" s="55">
        <f t="shared" si="3"/>
        <v>278826</v>
      </c>
      <c r="V29" s="56">
        <f t="shared" si="3"/>
        <v>316317</v>
      </c>
    </row>
    <row r="31" spans="1:25">
      <c r="A31" s="3" t="s">
        <v>183</v>
      </c>
    </row>
    <row r="36" spans="21:23" ht="17.399999999999999">
      <c r="U36" s="75"/>
      <c r="V36" s="31"/>
      <c r="W36" s="31"/>
    </row>
    <row r="37" spans="21:23" ht="17.399999999999999">
      <c r="U37" s="75"/>
      <c r="V37" s="31"/>
      <c r="W37" s="31"/>
    </row>
    <row r="38" spans="21:23" ht="17.399999999999999">
      <c r="U38" s="75"/>
      <c r="V38" s="31"/>
      <c r="W38" s="31"/>
    </row>
    <row r="39" spans="21:23" ht="17.399999999999999">
      <c r="U39" s="75"/>
      <c r="V39" s="31"/>
      <c r="W39" s="31"/>
    </row>
    <row r="40" spans="21:23" ht="17.399999999999999">
      <c r="U40" s="75"/>
      <c r="V40" s="31"/>
      <c r="W40" s="31"/>
    </row>
    <row r="41" spans="21:23" ht="17.399999999999999">
      <c r="U41" s="75"/>
      <c r="V41" s="31"/>
      <c r="W41" s="31"/>
    </row>
    <row r="42" spans="21:23" ht="17.399999999999999">
      <c r="U42" s="75"/>
      <c r="V42" s="31"/>
      <c r="W42" s="31"/>
    </row>
    <row r="43" spans="21:23" ht="17.399999999999999">
      <c r="U43" s="75"/>
      <c r="V43" s="31"/>
      <c r="W43" s="31"/>
    </row>
    <row r="44" spans="21:23" ht="17.399999999999999">
      <c r="U44" s="75"/>
      <c r="V44" s="31"/>
      <c r="W44" s="31"/>
    </row>
    <row r="45" spans="21:23" ht="17.399999999999999">
      <c r="U45" s="75"/>
      <c r="V45" s="31"/>
      <c r="W45" s="31"/>
    </row>
    <row r="46" spans="21:23" ht="17.399999999999999">
      <c r="U46" s="76"/>
      <c r="V46" s="31"/>
      <c r="W46" s="31"/>
    </row>
    <row r="47" spans="21:23" ht="18">
      <c r="U47" s="77"/>
      <c r="V47" s="66"/>
      <c r="W47" s="66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6640625" defaultRowHeight="13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43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0" width="11.44140625" style="26" bestFit="1" customWidth="1"/>
    <col min="11" max="11" width="11.44140625" style="26" customWidth="1"/>
    <col min="12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92" t="s">
        <v>3</v>
      </c>
      <c r="B2" s="51" t="str">
        <f t="shared" ref="B2:B18" si="0">IFERROR((E2/F2-1), "")</f>
        <v/>
      </c>
      <c r="C2" s="132">
        <f>E2-[1]Poland!C2</f>
        <v>0</v>
      </c>
      <c r="D2" s="31">
        <f>F2-[1]Poland!D2</f>
        <v>0</v>
      </c>
      <c r="E2" s="164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>
        <v>5000</v>
      </c>
      <c r="T2" s="31">
        <v>5000</v>
      </c>
      <c r="U2" s="31">
        <v>0</v>
      </c>
      <c r="V2" s="32">
        <v>0</v>
      </c>
    </row>
    <row r="3" spans="1:22">
      <c r="A3" s="92" t="s">
        <v>32</v>
      </c>
      <c r="B3" s="51" t="str">
        <f t="shared" si="0"/>
        <v/>
      </c>
      <c r="C3" s="132">
        <f>E3-[1]Poland!C3</f>
        <v>0</v>
      </c>
      <c r="D3" s="31">
        <f>F3-[1]Poland!D3</f>
        <v>0</v>
      </c>
      <c r="E3" s="164"/>
      <c r="F3" s="31"/>
      <c r="G3" s="31"/>
      <c r="H3" s="31"/>
      <c r="I3" s="31"/>
      <c r="J3" s="31"/>
      <c r="K3" s="31"/>
      <c r="L3" s="1"/>
      <c r="M3" s="31">
        <v>0</v>
      </c>
      <c r="N3" s="31">
        <v>2000</v>
      </c>
      <c r="O3" s="31">
        <v>3000</v>
      </c>
      <c r="P3" s="31">
        <v>7000</v>
      </c>
      <c r="Q3" s="31">
        <v>6000</v>
      </c>
      <c r="R3" s="31">
        <v>15000</v>
      </c>
      <c r="S3" s="31">
        <v>30000</v>
      </c>
      <c r="T3" s="31">
        <v>30000</v>
      </c>
      <c r="U3" s="31">
        <v>12000</v>
      </c>
      <c r="V3" s="32">
        <v>25000</v>
      </c>
    </row>
    <row r="4" spans="1:22">
      <c r="A4" s="9" t="s">
        <v>1</v>
      </c>
      <c r="B4" s="51" t="str">
        <f t="shared" si="0"/>
        <v/>
      </c>
      <c r="C4" s="132">
        <f>E4-[1]Poland!C4</f>
        <v>0</v>
      </c>
      <c r="D4" s="31">
        <f>F4-[1]Poland!D4</f>
        <v>0</v>
      </c>
      <c r="E4" s="164"/>
      <c r="F4" s="31"/>
      <c r="G4" s="31"/>
      <c r="H4" s="31"/>
      <c r="I4" s="31"/>
      <c r="J4" s="31"/>
      <c r="K4" s="31"/>
      <c r="L4" s="1">
        <v>0</v>
      </c>
      <c r="M4" s="31">
        <v>1000</v>
      </c>
      <c r="N4" s="31">
        <v>1000</v>
      </c>
      <c r="O4" s="31">
        <v>2000</v>
      </c>
      <c r="P4" s="31">
        <v>7000</v>
      </c>
      <c r="Q4" s="31">
        <v>6000</v>
      </c>
      <c r="R4" s="31"/>
      <c r="S4" s="31">
        <v>15000</v>
      </c>
      <c r="T4" s="31">
        <v>15000</v>
      </c>
      <c r="U4" s="31">
        <v>5000</v>
      </c>
      <c r="V4" s="32">
        <v>6000</v>
      </c>
    </row>
    <row r="5" spans="1:22">
      <c r="A5" s="9" t="s">
        <v>8</v>
      </c>
      <c r="B5" s="51">
        <f t="shared" si="0"/>
        <v>-6.25E-2</v>
      </c>
      <c r="C5" s="132">
        <f>E5-[1]Poland!C5</f>
        <v>150000</v>
      </c>
      <c r="D5" s="31">
        <f>F5-[1]Poland!D5</f>
        <v>160000</v>
      </c>
      <c r="E5" s="164">
        <v>150000</v>
      </c>
      <c r="F5" s="31">
        <v>160000</v>
      </c>
      <c r="G5" s="31">
        <v>200000</v>
      </c>
      <c r="H5" s="31">
        <v>145000</v>
      </c>
      <c r="I5" s="31">
        <v>130000</v>
      </c>
      <c r="J5" s="31">
        <v>150000</v>
      </c>
      <c r="K5" s="31">
        <v>120000</v>
      </c>
      <c r="L5" s="1">
        <v>130000</v>
      </c>
      <c r="M5" s="31">
        <v>110000</v>
      </c>
      <c r="N5" s="31">
        <v>110000</v>
      </c>
      <c r="O5" s="31">
        <v>120000</v>
      </c>
      <c r="P5" s="31">
        <v>80000</v>
      </c>
      <c r="Q5" s="31">
        <v>85000</v>
      </c>
      <c r="R5" s="31">
        <v>65000</v>
      </c>
      <c r="S5" s="31">
        <v>70000</v>
      </c>
      <c r="T5" s="31">
        <v>60000</v>
      </c>
      <c r="U5" s="31">
        <v>45000</v>
      </c>
      <c r="V5" s="32">
        <v>40000</v>
      </c>
    </row>
    <row r="6" spans="1:22">
      <c r="A6" s="9" t="s">
        <v>13</v>
      </c>
      <c r="B6" s="51">
        <f t="shared" si="0"/>
        <v>-0.16666666666666663</v>
      </c>
      <c r="C6" s="132">
        <f>E6-[1]Poland!C6</f>
        <v>25000</v>
      </c>
      <c r="D6" s="31">
        <f>F6-[1]Poland!D6</f>
        <v>30000</v>
      </c>
      <c r="E6" s="164">
        <v>25000</v>
      </c>
      <c r="F6" s="31">
        <v>30000</v>
      </c>
      <c r="G6" s="31">
        <v>90000</v>
      </c>
      <c r="H6" s="31">
        <v>75000</v>
      </c>
      <c r="I6" s="31">
        <v>80000</v>
      </c>
      <c r="J6" s="31">
        <v>95000</v>
      </c>
      <c r="K6" s="31">
        <v>95000</v>
      </c>
      <c r="L6" s="1">
        <v>100000</v>
      </c>
      <c r="M6" s="31">
        <v>100000</v>
      </c>
      <c r="N6" s="31">
        <v>100000</v>
      </c>
      <c r="O6" s="31">
        <v>100000</v>
      </c>
      <c r="P6" s="31">
        <v>100000</v>
      </c>
      <c r="Q6" s="31">
        <v>82000</v>
      </c>
      <c r="R6" s="31">
        <v>30000</v>
      </c>
      <c r="S6" s="31">
        <v>20000</v>
      </c>
      <c r="T6" s="31">
        <v>20000</v>
      </c>
      <c r="U6" s="31">
        <v>20000</v>
      </c>
      <c r="V6" s="32">
        <v>30000</v>
      </c>
    </row>
    <row r="7" spans="1:22">
      <c r="A7" s="9" t="s">
        <v>2</v>
      </c>
      <c r="B7" s="51">
        <f t="shared" si="0"/>
        <v>9.0909090909090828E-2</v>
      </c>
      <c r="C7" s="132">
        <f>E7-[1]Poland!C7</f>
        <v>240000</v>
      </c>
      <c r="D7" s="31">
        <f>F7-[1]Poland!D7</f>
        <v>220000</v>
      </c>
      <c r="E7" s="164">
        <v>240000</v>
      </c>
      <c r="F7" s="31">
        <v>220000</v>
      </c>
      <c r="G7" s="31">
        <v>240000</v>
      </c>
      <c r="H7" s="31">
        <v>150000</v>
      </c>
      <c r="I7" s="31">
        <v>120000</v>
      </c>
      <c r="J7" s="31">
        <v>150000</v>
      </c>
      <c r="K7" s="31">
        <v>150000</v>
      </c>
      <c r="L7" s="41">
        <v>170000</v>
      </c>
      <c r="M7" s="70">
        <v>170000</v>
      </c>
      <c r="N7" s="70">
        <v>170000</v>
      </c>
      <c r="O7" s="70">
        <v>140000</v>
      </c>
      <c r="P7" s="70">
        <v>140000</v>
      </c>
      <c r="Q7" s="70">
        <v>140000</v>
      </c>
      <c r="R7" s="70">
        <v>70000</v>
      </c>
      <c r="S7" s="70">
        <v>90000</v>
      </c>
      <c r="T7" s="70">
        <v>85000</v>
      </c>
      <c r="U7" s="31">
        <v>75000</v>
      </c>
      <c r="V7" s="32">
        <v>70000</v>
      </c>
    </row>
    <row r="8" spans="1:22">
      <c r="A8" s="9" t="s">
        <v>9</v>
      </c>
      <c r="B8" s="51">
        <f t="shared" si="0"/>
        <v>-0.21739130434782605</v>
      </c>
      <c r="C8" s="132">
        <f>E8-[1]Poland!C8</f>
        <v>180000</v>
      </c>
      <c r="D8" s="31">
        <f>F8-[1]Poland!D8</f>
        <v>230000</v>
      </c>
      <c r="E8" s="164">
        <v>180000</v>
      </c>
      <c r="F8" s="31">
        <v>230000</v>
      </c>
      <c r="G8" s="31">
        <v>310000</v>
      </c>
      <c r="H8" s="31">
        <v>250000</v>
      </c>
      <c r="I8" s="31">
        <v>210000</v>
      </c>
      <c r="J8" s="31">
        <v>350000</v>
      </c>
      <c r="K8" s="31">
        <v>180000</v>
      </c>
      <c r="L8" s="41">
        <v>330000</v>
      </c>
      <c r="M8" s="70">
        <v>370000</v>
      </c>
      <c r="N8" s="70">
        <v>350000</v>
      </c>
      <c r="O8" s="70">
        <v>300000</v>
      </c>
      <c r="P8" s="70">
        <v>270000</v>
      </c>
      <c r="Q8" s="70">
        <v>240000</v>
      </c>
      <c r="R8" s="70">
        <v>100000</v>
      </c>
      <c r="S8" s="70">
        <v>120000</v>
      </c>
      <c r="T8" s="70">
        <v>140000</v>
      </c>
      <c r="U8" s="31">
        <v>40000</v>
      </c>
      <c r="V8" s="32">
        <v>100000</v>
      </c>
    </row>
    <row r="9" spans="1:22">
      <c r="A9" s="9" t="s">
        <v>26</v>
      </c>
      <c r="B9" s="51">
        <f t="shared" si="0"/>
        <v>-0.1428571428571429</v>
      </c>
      <c r="C9" s="132">
        <f>E9-[1]Poland!C9</f>
        <v>60000</v>
      </c>
      <c r="D9" s="31">
        <f>F9-[1]Poland!D9</f>
        <v>70000</v>
      </c>
      <c r="E9" s="164">
        <v>60000</v>
      </c>
      <c r="F9" s="31">
        <v>70000</v>
      </c>
      <c r="G9" s="31">
        <v>100000</v>
      </c>
      <c r="H9" s="31">
        <v>120000</v>
      </c>
      <c r="I9" s="31">
        <v>80000</v>
      </c>
      <c r="J9" s="31">
        <v>120000</v>
      </c>
      <c r="K9" s="31">
        <v>55000</v>
      </c>
      <c r="L9" s="41">
        <v>120000</v>
      </c>
      <c r="M9" s="70">
        <v>120000</v>
      </c>
      <c r="N9" s="70">
        <v>110000</v>
      </c>
      <c r="O9" s="70">
        <v>95000</v>
      </c>
      <c r="P9" s="70">
        <v>95000</v>
      </c>
      <c r="Q9" s="70">
        <v>90000</v>
      </c>
      <c r="R9" s="70">
        <v>40000</v>
      </c>
      <c r="S9" s="70">
        <v>80000</v>
      </c>
      <c r="T9" s="70">
        <v>60000</v>
      </c>
      <c r="U9" s="31">
        <v>10000</v>
      </c>
      <c r="V9" s="32">
        <v>30000</v>
      </c>
    </row>
    <row r="10" spans="1:22">
      <c r="A10" s="9" t="s">
        <v>157</v>
      </c>
      <c r="B10" s="51">
        <f t="shared" si="0"/>
        <v>-0.11111111111111116</v>
      </c>
      <c r="C10" s="132">
        <f>E10-[1]Poland!C10</f>
        <v>80000</v>
      </c>
      <c r="D10" s="31">
        <f>F10-[1]Poland!D10</f>
        <v>90000</v>
      </c>
      <c r="E10" s="164">
        <v>80000</v>
      </c>
      <c r="F10" s="31">
        <v>90000</v>
      </c>
      <c r="G10" s="31">
        <v>135000</v>
      </c>
      <c r="H10" s="31">
        <v>140000</v>
      </c>
      <c r="I10" s="31">
        <v>50000</v>
      </c>
      <c r="J10" s="31">
        <v>150000</v>
      </c>
      <c r="K10" s="31">
        <v>95000</v>
      </c>
      <c r="L10" s="41">
        <v>140000</v>
      </c>
      <c r="M10" s="70">
        <v>140000</v>
      </c>
      <c r="N10" s="70">
        <v>135000</v>
      </c>
      <c r="O10" s="70">
        <v>130000</v>
      </c>
      <c r="P10" s="70">
        <v>130000</v>
      </c>
      <c r="Q10" s="70">
        <v>115000</v>
      </c>
      <c r="R10" s="70"/>
      <c r="S10" s="70">
        <v>10000</v>
      </c>
      <c r="T10" s="70">
        <v>10000</v>
      </c>
      <c r="U10" s="31">
        <v>5000</v>
      </c>
      <c r="V10" s="32">
        <v>10000</v>
      </c>
    </row>
    <row r="11" spans="1:22">
      <c r="A11" s="92" t="s">
        <v>33</v>
      </c>
      <c r="B11" s="51" t="str">
        <f t="shared" si="0"/>
        <v/>
      </c>
      <c r="C11" s="132">
        <f>E11-[1]Poland!C11</f>
        <v>0</v>
      </c>
      <c r="D11" s="31">
        <f>F11-[1]Poland!D11</f>
        <v>0</v>
      </c>
      <c r="E11" s="164"/>
      <c r="F11" s="31"/>
      <c r="G11" s="31"/>
      <c r="H11" s="31"/>
      <c r="I11" s="31"/>
      <c r="J11" s="31"/>
      <c r="K11" s="31"/>
      <c r="L11" s="41"/>
      <c r="M11" s="70">
        <v>0</v>
      </c>
      <c r="N11" s="70">
        <v>2000</v>
      </c>
      <c r="O11" s="70">
        <v>2000</v>
      </c>
      <c r="P11" s="70">
        <v>5000</v>
      </c>
      <c r="Q11" s="70">
        <v>5000</v>
      </c>
      <c r="R11" s="70">
        <v>30000</v>
      </c>
      <c r="S11" s="70">
        <v>65000</v>
      </c>
      <c r="T11" s="70">
        <v>45000</v>
      </c>
      <c r="U11" s="31">
        <v>30000</v>
      </c>
      <c r="V11" s="32">
        <v>45000</v>
      </c>
    </row>
    <row r="12" spans="1:22">
      <c r="A12" s="92" t="s">
        <v>12</v>
      </c>
      <c r="B12" s="51">
        <f t="shared" si="0"/>
        <v>0.10000000000000009</v>
      </c>
      <c r="C12" s="132">
        <f>E12-[1]Poland!C12</f>
        <v>55000</v>
      </c>
      <c r="D12" s="31">
        <f>F12-[1]Poland!D12</f>
        <v>50000</v>
      </c>
      <c r="E12" s="164">
        <v>55000</v>
      </c>
      <c r="F12" s="31">
        <v>50000</v>
      </c>
      <c r="G12" s="31">
        <v>50000</v>
      </c>
      <c r="H12" s="31">
        <v>40000</v>
      </c>
      <c r="I12" s="31">
        <v>15000</v>
      </c>
      <c r="J12" s="31">
        <v>45000</v>
      </c>
      <c r="K12" s="31">
        <v>20000</v>
      </c>
      <c r="L12" s="41">
        <v>20000</v>
      </c>
      <c r="M12" s="70">
        <v>20000</v>
      </c>
      <c r="N12" s="70">
        <v>20000</v>
      </c>
      <c r="O12" s="70">
        <v>18000</v>
      </c>
      <c r="P12" s="70">
        <v>30000</v>
      </c>
      <c r="Q12" s="70">
        <v>32000</v>
      </c>
      <c r="R12" s="70"/>
      <c r="S12" s="70">
        <v>20000</v>
      </c>
      <c r="T12" s="70">
        <v>10000</v>
      </c>
      <c r="U12" s="31">
        <v>3000</v>
      </c>
      <c r="V12" s="32">
        <v>5000</v>
      </c>
    </row>
    <row r="13" spans="1:22">
      <c r="A13" s="92" t="s">
        <v>18</v>
      </c>
      <c r="B13" s="51">
        <f t="shared" si="0"/>
        <v>-0.16666666666666663</v>
      </c>
      <c r="C13" s="132">
        <f>E13-[1]Poland!C13</f>
        <v>50000</v>
      </c>
      <c r="D13" s="31">
        <f>F13-[1]Poland!D13</f>
        <v>60000</v>
      </c>
      <c r="E13" s="164">
        <v>50000</v>
      </c>
      <c r="F13" s="31">
        <v>60000</v>
      </c>
      <c r="G13" s="31">
        <v>50000</v>
      </c>
      <c r="H13" s="31">
        <v>30000</v>
      </c>
      <c r="I13" s="31">
        <v>22000</v>
      </c>
      <c r="J13" s="31">
        <v>15000</v>
      </c>
      <c r="K13" s="31">
        <v>4000</v>
      </c>
      <c r="L13" s="41">
        <v>10000</v>
      </c>
      <c r="M13" s="70">
        <v>10000</v>
      </c>
      <c r="N13" s="70">
        <v>6000</v>
      </c>
      <c r="O13" s="70">
        <v>3000</v>
      </c>
      <c r="P13" s="70">
        <v>4000</v>
      </c>
      <c r="Q13" s="70">
        <v>6000</v>
      </c>
      <c r="R13" s="70"/>
      <c r="S13" s="70">
        <v>20000</v>
      </c>
      <c r="T13" s="70">
        <v>15000</v>
      </c>
      <c r="U13" s="31">
        <v>8000</v>
      </c>
      <c r="V13" s="32">
        <v>10000</v>
      </c>
    </row>
    <row r="14" spans="1:22">
      <c r="A14" s="92" t="s">
        <v>97</v>
      </c>
      <c r="B14" s="51">
        <f t="shared" si="0"/>
        <v>-0.31481481481481477</v>
      </c>
      <c r="C14" s="132">
        <f>E14-[1]Poland!C14</f>
        <v>185000</v>
      </c>
      <c r="D14" s="31">
        <f>F14-[1]Poland!D14</f>
        <v>270000</v>
      </c>
      <c r="E14" s="164">
        <v>185000</v>
      </c>
      <c r="F14" s="31">
        <v>270000</v>
      </c>
      <c r="G14" s="31">
        <v>210000</v>
      </c>
      <c r="H14" s="31">
        <v>180000</v>
      </c>
      <c r="I14" s="31">
        <v>150000</v>
      </c>
      <c r="J14" s="31">
        <v>90000</v>
      </c>
      <c r="K14" s="31"/>
      <c r="L14" s="41"/>
      <c r="M14" s="70"/>
      <c r="N14" s="70"/>
      <c r="O14" s="70"/>
      <c r="P14" s="70"/>
      <c r="Q14" s="70"/>
      <c r="R14" s="70"/>
      <c r="S14" s="70"/>
      <c r="T14" s="70"/>
      <c r="U14" s="31"/>
      <c r="V14" s="32"/>
    </row>
    <row r="15" spans="1:22">
      <c r="A15" s="92" t="s">
        <v>88</v>
      </c>
      <c r="B15" s="51">
        <f t="shared" si="0"/>
        <v>-0.16666666666666663</v>
      </c>
      <c r="C15" s="132">
        <f>E15-[1]Poland!C15</f>
        <v>100000</v>
      </c>
      <c r="D15" s="31">
        <f>F15-[1]Poland!D15</f>
        <v>120000</v>
      </c>
      <c r="E15" s="164">
        <v>100000</v>
      </c>
      <c r="F15" s="31">
        <v>120000</v>
      </c>
      <c r="G15" s="31">
        <v>140000</v>
      </c>
      <c r="H15" s="31">
        <v>170000</v>
      </c>
      <c r="I15" s="31">
        <v>150000</v>
      </c>
      <c r="J15" s="31">
        <v>230000</v>
      </c>
      <c r="K15" s="31">
        <v>170000</v>
      </c>
      <c r="L15" s="41">
        <v>210000</v>
      </c>
      <c r="M15" s="70">
        <v>210000</v>
      </c>
      <c r="N15" s="70">
        <v>210000</v>
      </c>
      <c r="O15" s="70">
        <v>200000</v>
      </c>
      <c r="P15" s="70">
        <v>170000</v>
      </c>
      <c r="Q15" s="70">
        <v>145000</v>
      </c>
      <c r="R15" s="70">
        <v>70000</v>
      </c>
      <c r="S15" s="70">
        <v>100000</v>
      </c>
      <c r="T15" s="70">
        <v>100000</v>
      </c>
      <c r="U15" s="31">
        <v>75000</v>
      </c>
      <c r="V15" s="32">
        <v>80000</v>
      </c>
    </row>
    <row r="16" spans="1:22">
      <c r="A16" s="92" t="s">
        <v>34</v>
      </c>
      <c r="B16" s="51" t="str">
        <f t="shared" si="0"/>
        <v/>
      </c>
      <c r="C16" s="132">
        <f>E16-[1]Poland!C16</f>
        <v>0</v>
      </c>
      <c r="D16" s="31">
        <f>F16-[1]Poland!D16</f>
        <v>0</v>
      </c>
      <c r="E16" s="164"/>
      <c r="F16" s="31"/>
      <c r="G16" s="31"/>
      <c r="H16" s="31"/>
      <c r="I16" s="31"/>
      <c r="J16" s="31"/>
      <c r="K16" s="31"/>
      <c r="L16" s="41"/>
      <c r="M16" s="70"/>
      <c r="N16" s="70"/>
      <c r="O16" s="70"/>
      <c r="P16" s="70"/>
      <c r="Q16" s="70"/>
      <c r="R16" s="70"/>
      <c r="S16" s="70">
        <v>5000</v>
      </c>
      <c r="T16" s="70">
        <v>5000</v>
      </c>
      <c r="U16" s="31">
        <v>0</v>
      </c>
      <c r="V16" s="32">
        <v>0</v>
      </c>
    </row>
    <row r="17" spans="1:23" ht="13.8" thickBot="1">
      <c r="A17" s="152" t="s">
        <v>58</v>
      </c>
      <c r="B17" s="51">
        <f t="shared" si="0"/>
        <v>-0.16666666666666663</v>
      </c>
      <c r="C17" s="132">
        <f>E17-[1]Poland!C17</f>
        <v>100000</v>
      </c>
      <c r="D17" s="31">
        <f>F17-[1]Poland!D17</f>
        <v>120000</v>
      </c>
      <c r="E17" s="164">
        <v>100000</v>
      </c>
      <c r="F17" s="31">
        <v>120000</v>
      </c>
      <c r="G17" s="31">
        <v>170000</v>
      </c>
      <c r="H17" s="31">
        <v>300000</v>
      </c>
      <c r="I17" s="31">
        <v>120000</v>
      </c>
      <c r="J17" s="31">
        <v>310000</v>
      </c>
      <c r="K17" s="31">
        <v>150000</v>
      </c>
      <c r="L17" s="41">
        <v>230000</v>
      </c>
      <c r="M17" s="70">
        <v>250000</v>
      </c>
      <c r="N17" s="70">
        <v>250000</v>
      </c>
      <c r="O17" s="70">
        <v>130000</v>
      </c>
      <c r="P17" s="70">
        <v>170000</v>
      </c>
      <c r="Q17" s="70">
        <v>105000</v>
      </c>
      <c r="R17" s="70">
        <v>30000</v>
      </c>
      <c r="S17" s="70">
        <v>50000</v>
      </c>
      <c r="T17" s="70">
        <v>50000</v>
      </c>
      <c r="U17" s="31">
        <v>52000</v>
      </c>
      <c r="V17" s="32">
        <v>49000</v>
      </c>
    </row>
    <row r="18" spans="1:23" s="45" customFormat="1" ht="13.8" thickBot="1">
      <c r="A18" s="144" t="s">
        <v>22</v>
      </c>
      <c r="B18" s="38">
        <f t="shared" si="0"/>
        <v>-0.13732394366197187</v>
      </c>
      <c r="C18" s="133">
        <f>E18-[1]Poland!C18</f>
        <v>1225000</v>
      </c>
      <c r="D18" s="39">
        <f>F18-[1]Poland!D18</f>
        <v>1420000</v>
      </c>
      <c r="E18" s="163">
        <f>SUM(E2:E17)</f>
        <v>1225000</v>
      </c>
      <c r="F18" s="39">
        <f>SUM(F2:F17)</f>
        <v>1420000</v>
      </c>
      <c r="G18" s="39">
        <f>SUM(G2:G17)</f>
        <v>1695000</v>
      </c>
      <c r="H18" s="39">
        <f>SUM(H2:H17)</f>
        <v>1600000</v>
      </c>
      <c r="I18" s="39">
        <f>SUM(I2:I17)</f>
        <v>1127000</v>
      </c>
      <c r="J18" s="101">
        <v>1705000</v>
      </c>
      <c r="K18" s="101">
        <v>1039000</v>
      </c>
      <c r="L18" s="101">
        <f>SUM(L3:L17)</f>
        <v>1460000</v>
      </c>
      <c r="M18" s="39">
        <f>SUM(M2:M17)</f>
        <v>1501000</v>
      </c>
      <c r="N18" s="39">
        <f>SUM(N2:N17)</f>
        <v>1466000</v>
      </c>
      <c r="O18" s="39">
        <f>SUM(O2:O17)</f>
        <v>1243000</v>
      </c>
      <c r="P18" s="39">
        <f>SUM(P2:P17)</f>
        <v>1208000</v>
      </c>
      <c r="Q18" s="39">
        <f t="shared" ref="Q18:V18" si="1">SUM(Q2:Q17)</f>
        <v>1057000</v>
      </c>
      <c r="R18" s="39">
        <f t="shared" si="1"/>
        <v>450000</v>
      </c>
      <c r="S18" s="39">
        <f t="shared" si="1"/>
        <v>700000</v>
      </c>
      <c r="T18" s="39">
        <f t="shared" si="1"/>
        <v>650000</v>
      </c>
      <c r="U18" s="39">
        <f t="shared" si="1"/>
        <v>380000</v>
      </c>
      <c r="V18" s="40">
        <f t="shared" si="1"/>
        <v>500000</v>
      </c>
    </row>
    <row r="19" spans="1:23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23" ht="13.8" thickBot="1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23" ht="13.8" thickBot="1">
      <c r="A21" s="27" t="s">
        <v>24</v>
      </c>
      <c r="B21" s="12" t="s">
        <v>184</v>
      </c>
      <c r="C21" s="117" t="s">
        <v>185</v>
      </c>
      <c r="D21" s="42" t="s">
        <v>179</v>
      </c>
      <c r="E21" s="156">
        <v>45261</v>
      </c>
      <c r="F21" s="13">
        <v>44896</v>
      </c>
      <c r="G21" s="13">
        <v>44531</v>
      </c>
      <c r="H21" s="13">
        <v>44166</v>
      </c>
      <c r="I21" s="13">
        <v>43800</v>
      </c>
      <c r="J21" s="13">
        <v>43435</v>
      </c>
      <c r="K21" s="13">
        <v>43070</v>
      </c>
      <c r="L21" s="13">
        <v>42705</v>
      </c>
      <c r="M21" s="28">
        <f>M1</f>
        <v>42339</v>
      </c>
      <c r="N21" s="28">
        <f>N1</f>
        <v>41974</v>
      </c>
      <c r="O21" s="28">
        <v>41609</v>
      </c>
      <c r="P21" s="28">
        <v>41244</v>
      </c>
      <c r="Q21" s="28">
        <v>40878</v>
      </c>
      <c r="R21" s="28">
        <v>40513</v>
      </c>
      <c r="S21" s="28">
        <v>40148</v>
      </c>
      <c r="T21" s="28">
        <v>39783</v>
      </c>
      <c r="U21" s="28">
        <v>39417</v>
      </c>
      <c r="V21" s="44">
        <v>39052</v>
      </c>
    </row>
    <row r="22" spans="1:23">
      <c r="A22" s="50" t="s">
        <v>6</v>
      </c>
      <c r="B22" s="51">
        <f>IFERROR((E22/F22-1), "")</f>
        <v>-0.11111111111111116</v>
      </c>
      <c r="C22" s="132">
        <f>E22-[1]Poland!C22</f>
        <v>40000</v>
      </c>
      <c r="D22" s="31">
        <f>F22-[1]Poland!D22</f>
        <v>45000</v>
      </c>
      <c r="E22" s="164">
        <v>40000</v>
      </c>
      <c r="F22" s="31">
        <v>45000</v>
      </c>
      <c r="G22" s="31">
        <v>35000</v>
      </c>
      <c r="H22" s="31">
        <v>30000</v>
      </c>
      <c r="I22" s="31">
        <v>15000</v>
      </c>
      <c r="J22" s="31">
        <v>30000</v>
      </c>
      <c r="K22" s="31">
        <v>12000</v>
      </c>
      <c r="L22" s="31">
        <v>15000</v>
      </c>
      <c r="M22" s="31">
        <v>20000</v>
      </c>
      <c r="N22" s="31">
        <v>10000</v>
      </c>
      <c r="O22" s="31">
        <v>25000</v>
      </c>
      <c r="P22" s="31">
        <v>7000</v>
      </c>
      <c r="Q22" s="31">
        <v>15000</v>
      </c>
      <c r="R22" s="31">
        <v>15000</v>
      </c>
      <c r="S22" s="31">
        <v>35000</v>
      </c>
      <c r="T22" s="31">
        <v>25000</v>
      </c>
      <c r="U22" s="31">
        <v>10000</v>
      </c>
      <c r="V22" s="32">
        <v>30000</v>
      </c>
    </row>
    <row r="23" spans="1:23">
      <c r="A23" s="50" t="s">
        <v>137</v>
      </c>
      <c r="B23" s="51" t="str">
        <f>IFERROR((E23/F23-1), "")</f>
        <v/>
      </c>
      <c r="C23" s="132">
        <f>E23-[1]Poland!C23</f>
        <v>0</v>
      </c>
      <c r="D23" s="31">
        <f>F23-[1]Poland!D23</f>
        <v>0</v>
      </c>
      <c r="E23" s="164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>
        <v>1000</v>
      </c>
      <c r="V23" s="32">
        <v>3000</v>
      </c>
    </row>
    <row r="24" spans="1:23" ht="13.8" thickBot="1">
      <c r="A24" s="52" t="s">
        <v>58</v>
      </c>
      <c r="B24" s="51">
        <f>IFERROR((E24/F24-1), "")</f>
        <v>-1</v>
      </c>
      <c r="C24" s="132">
        <f>E24-[1]Poland!C24</f>
        <v>0</v>
      </c>
      <c r="D24" s="31">
        <f>F24-[1]Poland!D24</f>
        <v>5000</v>
      </c>
      <c r="E24" s="164"/>
      <c r="F24" s="31">
        <v>5000</v>
      </c>
      <c r="G24" s="31">
        <v>6000</v>
      </c>
      <c r="H24" s="31">
        <v>6000</v>
      </c>
      <c r="I24" s="35">
        <v>3000</v>
      </c>
      <c r="J24" s="35">
        <v>7000</v>
      </c>
      <c r="K24" s="35">
        <v>1000</v>
      </c>
      <c r="L24" s="35">
        <v>1000</v>
      </c>
      <c r="M24" s="35">
        <v>3000</v>
      </c>
      <c r="N24" s="35">
        <v>3000</v>
      </c>
      <c r="O24" s="35">
        <v>5000</v>
      </c>
      <c r="P24" s="35">
        <v>1000</v>
      </c>
      <c r="Q24" s="35">
        <v>4000</v>
      </c>
      <c r="R24" s="35">
        <v>7000</v>
      </c>
      <c r="S24" s="35">
        <v>15000</v>
      </c>
      <c r="T24" s="35">
        <v>10000</v>
      </c>
      <c r="U24" s="35">
        <v>7000</v>
      </c>
      <c r="V24" s="36">
        <v>7000</v>
      </c>
    </row>
    <row r="25" spans="1:23" s="45" customFormat="1" ht="13.8" thickBot="1">
      <c r="A25" s="37" t="s">
        <v>22</v>
      </c>
      <c r="B25" s="38">
        <f>IFERROR((E25/F25-1), "")</f>
        <v>-0.19999999999999996</v>
      </c>
      <c r="C25" s="133">
        <f>E25-[1]Poland!C25</f>
        <v>40000</v>
      </c>
      <c r="D25" s="39">
        <f>F25-[1]Poland!D25</f>
        <v>50000</v>
      </c>
      <c r="E25" s="163">
        <f>SUM(E22:E24)</f>
        <v>40000</v>
      </c>
      <c r="F25" s="39">
        <f>SUM(F22:F24)</f>
        <v>50000</v>
      </c>
      <c r="G25" s="39">
        <f>SUM(G22:G24)</f>
        <v>41000</v>
      </c>
      <c r="H25" s="39">
        <f>SUM(H22:H24)</f>
        <v>36000</v>
      </c>
      <c r="I25" s="143">
        <f>SUM(I22:I24)</f>
        <v>18000</v>
      </c>
      <c r="J25" s="55">
        <v>37000</v>
      </c>
      <c r="K25" s="55">
        <v>13000</v>
      </c>
      <c r="L25" s="55">
        <f>SUM(L22:L24)</f>
        <v>16000</v>
      </c>
      <c r="M25" s="55">
        <f>SUM(M22:M24)</f>
        <v>23000</v>
      </c>
      <c r="N25" s="55">
        <f>SUM(N22:N24)</f>
        <v>13000</v>
      </c>
      <c r="O25" s="55">
        <f>SUM(O22:O24)</f>
        <v>30000</v>
      </c>
      <c r="P25" s="55">
        <f t="shared" ref="P25:V25" si="2">SUM(P22:P24)</f>
        <v>8000</v>
      </c>
      <c r="Q25" s="55">
        <f t="shared" si="2"/>
        <v>19000</v>
      </c>
      <c r="R25" s="55">
        <f t="shared" si="2"/>
        <v>22000</v>
      </c>
      <c r="S25" s="55">
        <f t="shared" si="2"/>
        <v>50000</v>
      </c>
      <c r="T25" s="55">
        <f t="shared" si="2"/>
        <v>35000</v>
      </c>
      <c r="U25" s="55">
        <f t="shared" si="2"/>
        <v>18000</v>
      </c>
      <c r="V25" s="56">
        <f t="shared" si="2"/>
        <v>40000</v>
      </c>
    </row>
    <row r="27" spans="1:23" ht="17.399999999999999">
      <c r="A27" s="75" t="s">
        <v>173</v>
      </c>
    </row>
    <row r="28" spans="1:23" ht="17.399999999999999">
      <c r="A28" s="75"/>
    </row>
    <row r="32" spans="1:23" ht="17.399999999999999">
      <c r="U32" s="75"/>
      <c r="V32" s="31"/>
      <c r="W32" s="31"/>
    </row>
    <row r="33" spans="21:23" ht="17.399999999999999">
      <c r="U33" s="75"/>
      <c r="V33" s="31"/>
      <c r="W33" s="31"/>
    </row>
    <row r="34" spans="21:23" ht="17.399999999999999">
      <c r="U34" s="75"/>
      <c r="V34" s="31"/>
      <c r="W34" s="31"/>
    </row>
    <row r="35" spans="21:23" ht="17.399999999999999">
      <c r="U35" s="75"/>
      <c r="V35" s="31"/>
      <c r="W35" s="31"/>
    </row>
    <row r="36" spans="21:23" ht="17.399999999999999">
      <c r="U36" s="75"/>
      <c r="V36" s="31"/>
      <c r="W36" s="31"/>
    </row>
    <row r="37" spans="21:23" ht="17.399999999999999">
      <c r="U37" s="75"/>
      <c r="V37" s="31"/>
      <c r="W37" s="31"/>
    </row>
    <row r="38" spans="21:23" ht="17.399999999999999">
      <c r="U38" s="75"/>
      <c r="V38" s="31"/>
      <c r="W38" s="31"/>
    </row>
    <row r="39" spans="21:23" ht="17.399999999999999">
      <c r="U39" s="75"/>
      <c r="V39" s="31"/>
      <c r="W39" s="31"/>
    </row>
    <row r="40" spans="21:23" ht="17.399999999999999">
      <c r="U40" s="75"/>
      <c r="V40" s="31"/>
      <c r="W40" s="31"/>
    </row>
    <row r="41" spans="21:23" ht="17.399999999999999">
      <c r="U41" s="75"/>
      <c r="V41" s="31"/>
      <c r="W41" s="31"/>
    </row>
    <row r="42" spans="21:23" ht="17.399999999999999">
      <c r="U42" s="76"/>
      <c r="V42" s="31"/>
      <c r="W42" s="31"/>
    </row>
    <row r="43" spans="21:23" ht="18">
      <c r="U43" s="77"/>
      <c r="V43" s="66"/>
      <c r="W43" s="66"/>
    </row>
  </sheetData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5"/>
  <sheetViews>
    <sheetView workbookViewId="0"/>
  </sheetViews>
  <sheetFormatPr defaultColWidth="8.6640625" defaultRowHeight="13.2"/>
  <cols>
    <col min="1" max="1" width="29" customWidth="1"/>
    <col min="2" max="2" width="11" bestFit="1" customWidth="1"/>
    <col min="3" max="4" width="11.44140625" bestFit="1" customWidth="1"/>
    <col min="5" max="9" width="11.44140625" customWidth="1"/>
    <col min="10" max="12" width="11" customWidth="1"/>
    <col min="13" max="18" width="10.6640625" customWidth="1"/>
    <col min="19" max="19" width="11.109375" customWidth="1"/>
  </cols>
  <sheetData>
    <row r="1" spans="1:19" ht="13.8" thickBot="1">
      <c r="A1" s="91" t="s">
        <v>92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41">
        <v>43800</v>
      </c>
      <c r="J1" s="141">
        <v>43435</v>
      </c>
      <c r="K1" s="141">
        <v>43070</v>
      </c>
      <c r="L1" s="13">
        <v>42705</v>
      </c>
      <c r="M1" s="13">
        <v>42339</v>
      </c>
      <c r="N1" s="13">
        <v>41974</v>
      </c>
      <c r="O1" s="13">
        <v>41609</v>
      </c>
      <c r="P1" s="13">
        <v>41244</v>
      </c>
      <c r="Q1" s="13">
        <v>40878</v>
      </c>
      <c r="R1" s="13">
        <v>40513</v>
      </c>
      <c r="S1" s="14">
        <v>40148</v>
      </c>
    </row>
    <row r="2" spans="1:19">
      <c r="A2" s="92" t="s">
        <v>8</v>
      </c>
      <c r="B2" s="93" t="str">
        <f t="shared" ref="B2:B9" si="0">IFERROR((E2/F2-1), "")</f>
        <v/>
      </c>
      <c r="C2" s="128"/>
      <c r="D2" s="108"/>
      <c r="E2" s="173"/>
      <c r="F2" s="108"/>
      <c r="G2" s="108"/>
      <c r="H2" s="108"/>
      <c r="I2" s="108"/>
      <c r="J2" s="108"/>
      <c r="K2" s="108"/>
      <c r="L2" s="100"/>
      <c r="M2" s="100"/>
      <c r="N2" s="100"/>
      <c r="O2" s="100"/>
      <c r="P2" s="100"/>
      <c r="Q2" s="100"/>
      <c r="R2" s="100"/>
      <c r="S2" s="94"/>
    </row>
    <row r="3" spans="1:19">
      <c r="A3" s="92" t="s">
        <v>149</v>
      </c>
      <c r="B3" s="93" t="str">
        <f t="shared" si="0"/>
        <v/>
      </c>
      <c r="C3" s="128"/>
      <c r="D3" s="108"/>
      <c r="E3" s="173"/>
      <c r="F3" s="108"/>
      <c r="G3" s="108"/>
      <c r="H3" s="108"/>
      <c r="I3" s="108"/>
      <c r="J3" s="108"/>
      <c r="K3" s="108"/>
      <c r="L3" s="100"/>
      <c r="M3" s="100"/>
      <c r="N3" s="100"/>
      <c r="O3" s="100"/>
      <c r="P3" s="100"/>
      <c r="Q3" s="100"/>
      <c r="R3" s="100"/>
      <c r="S3" s="94"/>
    </row>
    <row r="4" spans="1:19">
      <c r="A4" s="92" t="s">
        <v>26</v>
      </c>
      <c r="B4" s="93" t="str">
        <f t="shared" si="0"/>
        <v/>
      </c>
      <c r="C4" s="128"/>
      <c r="D4" s="108"/>
      <c r="E4" s="173"/>
      <c r="F4" s="108"/>
      <c r="G4" s="108"/>
      <c r="H4" s="108"/>
      <c r="I4" s="108"/>
      <c r="J4" s="108"/>
      <c r="K4" s="108"/>
      <c r="L4" s="100"/>
      <c r="M4" s="100"/>
      <c r="N4" s="100"/>
      <c r="O4" s="100"/>
      <c r="P4" s="100"/>
      <c r="Q4" s="100"/>
      <c r="R4" s="100"/>
      <c r="S4" s="94"/>
    </row>
    <row r="5" spans="1:19">
      <c r="A5" s="92" t="s">
        <v>25</v>
      </c>
      <c r="B5" s="93" t="str">
        <f t="shared" si="0"/>
        <v/>
      </c>
      <c r="C5" s="128"/>
      <c r="D5" s="108"/>
      <c r="E5" s="173"/>
      <c r="F5" s="108"/>
      <c r="G5" s="108"/>
      <c r="H5" s="108"/>
      <c r="I5" s="108"/>
      <c r="J5" s="108"/>
      <c r="K5" s="108"/>
      <c r="L5" s="100"/>
      <c r="M5" s="100"/>
      <c r="N5" s="100"/>
      <c r="O5" s="100"/>
      <c r="P5" s="100"/>
      <c r="Q5" s="100"/>
      <c r="R5" s="100"/>
      <c r="S5" s="94"/>
    </row>
    <row r="6" spans="1:19">
      <c r="A6" s="92" t="s">
        <v>18</v>
      </c>
      <c r="B6" s="93" t="str">
        <f t="shared" si="0"/>
        <v/>
      </c>
      <c r="C6" s="128"/>
      <c r="D6" s="108"/>
      <c r="E6" s="173"/>
      <c r="F6" s="108"/>
      <c r="G6" s="108"/>
      <c r="H6" s="108"/>
      <c r="I6" s="108"/>
      <c r="J6" s="108"/>
      <c r="K6" s="108"/>
      <c r="L6" s="100"/>
      <c r="M6" s="100"/>
      <c r="N6" s="100"/>
      <c r="O6" s="100"/>
      <c r="P6" s="100"/>
      <c r="Q6" s="100"/>
      <c r="R6" s="100"/>
      <c r="S6" s="94"/>
    </row>
    <row r="7" spans="1:19">
      <c r="A7" s="92" t="s">
        <v>87</v>
      </c>
      <c r="B7" s="93" t="str">
        <f t="shared" si="0"/>
        <v/>
      </c>
      <c r="C7" s="128"/>
      <c r="D7" s="108"/>
      <c r="E7" s="173"/>
      <c r="F7" s="108"/>
      <c r="G7" s="108"/>
      <c r="H7" s="108"/>
      <c r="I7" s="108"/>
      <c r="J7" s="108"/>
      <c r="K7" s="108"/>
      <c r="L7" s="100"/>
      <c r="M7" s="100"/>
      <c r="N7" s="100"/>
      <c r="O7" s="100"/>
      <c r="P7" s="100"/>
      <c r="Q7" s="100"/>
      <c r="R7" s="100"/>
      <c r="S7" s="94"/>
    </row>
    <row r="8" spans="1:19" ht="13.8" thickBot="1">
      <c r="A8" s="95" t="s">
        <v>5</v>
      </c>
      <c r="B8" s="96" t="str">
        <f t="shared" si="0"/>
        <v/>
      </c>
      <c r="C8" s="129"/>
      <c r="D8" s="109"/>
      <c r="E8" s="174"/>
      <c r="F8" s="109"/>
      <c r="G8" s="109"/>
      <c r="H8" s="109"/>
      <c r="I8" s="109"/>
      <c r="J8" s="109"/>
      <c r="K8" s="109"/>
      <c r="L8" s="131"/>
      <c r="M8" s="100"/>
      <c r="N8" s="100"/>
      <c r="O8" s="100"/>
      <c r="P8" s="100"/>
      <c r="Q8" s="100"/>
      <c r="R8" s="100"/>
      <c r="S8" s="94"/>
    </row>
    <row r="9" spans="1:19" ht="13.8" thickBot="1">
      <c r="A9" s="97" t="s">
        <v>93</v>
      </c>
      <c r="B9" s="98" t="str">
        <f t="shared" si="0"/>
        <v/>
      </c>
      <c r="C9" s="130"/>
      <c r="D9" s="110"/>
      <c r="E9" s="175"/>
      <c r="F9" s="110"/>
      <c r="G9" s="110"/>
      <c r="H9" s="110"/>
      <c r="I9" s="110"/>
      <c r="J9" s="110"/>
      <c r="K9" s="110"/>
      <c r="L9" s="101"/>
      <c r="M9" s="101"/>
      <c r="N9" s="101"/>
      <c r="O9" s="101"/>
      <c r="P9" s="101"/>
      <c r="Q9" s="101"/>
      <c r="R9" s="101"/>
      <c r="S9" s="99"/>
    </row>
    <row r="11" spans="1:19" ht="13.8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3.8" thickBot="1">
      <c r="A12" s="27" t="s">
        <v>92</v>
      </c>
      <c r="B12" s="12" t="s">
        <v>184</v>
      </c>
      <c r="C12" s="117" t="s">
        <v>185</v>
      </c>
      <c r="D12" s="42" t="s">
        <v>179</v>
      </c>
      <c r="E12" s="156">
        <v>45261</v>
      </c>
      <c r="F12" s="13">
        <v>44896</v>
      </c>
      <c r="G12" s="13">
        <v>44531</v>
      </c>
      <c r="H12" s="13">
        <v>44166</v>
      </c>
      <c r="I12" s="141">
        <v>43800</v>
      </c>
      <c r="J12" s="13">
        <v>43435</v>
      </c>
      <c r="K12" s="13">
        <v>43070</v>
      </c>
      <c r="L12" s="13">
        <v>42705</v>
      </c>
      <c r="M12" s="13">
        <f>M1</f>
        <v>42339</v>
      </c>
      <c r="N12" s="13">
        <f>N1</f>
        <v>41974</v>
      </c>
      <c r="O12" s="13">
        <v>41609</v>
      </c>
      <c r="P12" s="13">
        <v>41244</v>
      </c>
      <c r="Q12" s="13">
        <v>40878</v>
      </c>
      <c r="R12" s="13">
        <v>40513</v>
      </c>
      <c r="S12" s="14">
        <v>40148</v>
      </c>
    </row>
    <row r="13" spans="1:19" ht="13.8" thickBot="1">
      <c r="A13" s="29" t="s">
        <v>150</v>
      </c>
      <c r="B13" s="30" t="str">
        <f>IFERROR((E13/F13-1), "")</f>
        <v/>
      </c>
      <c r="C13" s="124"/>
      <c r="D13" s="57"/>
      <c r="E13" s="176"/>
      <c r="F13" s="57"/>
      <c r="G13" s="57"/>
      <c r="H13" s="57"/>
      <c r="I13" s="57"/>
      <c r="J13" s="57"/>
      <c r="K13" s="57"/>
      <c r="L13" s="31"/>
      <c r="M13" s="31"/>
      <c r="N13" s="31"/>
      <c r="O13" s="31"/>
      <c r="P13" s="31"/>
      <c r="Q13" s="31"/>
      <c r="R13" s="31"/>
      <c r="S13" s="32"/>
    </row>
    <row r="14" spans="1:19" ht="13.8" thickBot="1">
      <c r="A14" s="27" t="s">
        <v>93</v>
      </c>
      <c r="B14" s="38" t="str">
        <f>IFERROR((E14/F14-1), "")</f>
        <v/>
      </c>
      <c r="C14" s="123"/>
      <c r="D14" s="111"/>
      <c r="E14" s="177"/>
      <c r="F14" s="111"/>
      <c r="G14" s="111"/>
      <c r="H14" s="111"/>
      <c r="I14" s="111"/>
      <c r="J14" s="111"/>
      <c r="K14" s="111"/>
      <c r="L14" s="39"/>
      <c r="M14" s="39"/>
      <c r="N14" s="39"/>
      <c r="O14" s="39"/>
      <c r="P14" s="39"/>
      <c r="Q14" s="39"/>
      <c r="R14" s="39"/>
      <c r="S14" s="40"/>
    </row>
    <row r="15" spans="1:19">
      <c r="A15" s="26" t="s">
        <v>168</v>
      </c>
    </row>
  </sheetData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8"/>
  <sheetViews>
    <sheetView zoomScaleNormal="100"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3" width="11.44140625" style="26" bestFit="1" customWidth="1"/>
    <col min="4" max="4" width="11.6640625" style="26" bestFit="1" customWidth="1"/>
    <col min="5" max="9" width="11.6640625" style="26" customWidth="1"/>
    <col min="10" max="10" width="11.44140625" style="26" bestFit="1" customWidth="1"/>
    <col min="11" max="11" width="11.44140625" style="26" customWidth="1"/>
    <col min="12" max="13" width="10.109375" style="26" bestFit="1" customWidth="1"/>
    <col min="14" max="16384" width="9.109375" style="26"/>
  </cols>
  <sheetData>
    <row r="1" spans="1:17" ht="13.8" thickBot="1">
      <c r="A1" s="27" t="s">
        <v>92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44">
        <v>42339</v>
      </c>
    </row>
    <row r="2" spans="1:17">
      <c r="A2" s="92" t="s">
        <v>10</v>
      </c>
      <c r="B2" s="51" t="str">
        <f t="shared" ref="B2:B11" si="0">IFERROR((E2/F2-1), "")</f>
        <v/>
      </c>
      <c r="C2" s="132"/>
      <c r="D2" s="31">
        <f>F2-[1]Slovakia!D2</f>
        <v>0</v>
      </c>
      <c r="E2" s="164"/>
      <c r="F2" s="31"/>
      <c r="G2" s="31"/>
      <c r="H2" s="31"/>
      <c r="I2" s="31"/>
      <c r="J2" s="31"/>
      <c r="K2" s="31"/>
      <c r="L2" s="31"/>
      <c r="M2" s="32"/>
    </row>
    <row r="3" spans="1:17">
      <c r="A3" s="92" t="s">
        <v>60</v>
      </c>
      <c r="B3" s="51" t="str">
        <f t="shared" si="0"/>
        <v/>
      </c>
      <c r="C3" s="132"/>
      <c r="D3" s="31">
        <f>F3-[1]Slovakia!D3</f>
        <v>0</v>
      </c>
      <c r="E3" s="164"/>
      <c r="F3" s="31"/>
      <c r="G3" s="31"/>
      <c r="H3" s="31"/>
      <c r="I3" s="31"/>
      <c r="J3" s="31"/>
      <c r="K3" s="31"/>
      <c r="L3" s="31"/>
      <c r="M3" s="32"/>
      <c r="N3" s="31"/>
      <c r="O3" s="31"/>
      <c r="P3" s="31"/>
      <c r="Q3" s="31"/>
    </row>
    <row r="4" spans="1:17">
      <c r="A4" s="92" t="s">
        <v>11</v>
      </c>
      <c r="B4" s="51" t="str">
        <f t="shared" si="0"/>
        <v/>
      </c>
      <c r="C4" s="132"/>
      <c r="D4" s="31">
        <f>F4-[1]Slovakia!D4</f>
        <v>0</v>
      </c>
      <c r="E4" s="164"/>
      <c r="F4" s="31"/>
      <c r="G4" s="31"/>
      <c r="H4" s="31"/>
      <c r="I4" s="31"/>
      <c r="J4" s="31"/>
      <c r="K4" s="31"/>
      <c r="L4" s="31"/>
      <c r="M4" s="32"/>
      <c r="N4" s="31"/>
      <c r="O4" s="31"/>
      <c r="P4" s="31"/>
      <c r="Q4" s="31"/>
    </row>
    <row r="5" spans="1:17">
      <c r="A5" s="92" t="s">
        <v>8</v>
      </c>
      <c r="B5" s="51" t="str">
        <f t="shared" si="0"/>
        <v/>
      </c>
      <c r="C5" s="132"/>
      <c r="D5" s="31">
        <f>F5-[1]Slovakia!D5</f>
        <v>0</v>
      </c>
      <c r="E5" s="164"/>
      <c r="F5" s="31"/>
      <c r="G5" s="31"/>
      <c r="H5" s="31"/>
      <c r="I5" s="31"/>
      <c r="J5" s="31"/>
      <c r="K5" s="31"/>
      <c r="L5" s="31"/>
      <c r="M5" s="32"/>
    </row>
    <row r="6" spans="1:17">
      <c r="A6" s="92" t="s">
        <v>2</v>
      </c>
      <c r="B6" s="51" t="str">
        <f t="shared" si="0"/>
        <v/>
      </c>
      <c r="C6" s="132"/>
      <c r="D6" s="31">
        <f>F6-[1]Slovakia!D6</f>
        <v>0</v>
      </c>
      <c r="E6" s="164"/>
      <c r="F6" s="31"/>
      <c r="G6" s="31"/>
      <c r="H6" s="31"/>
      <c r="I6" s="31"/>
      <c r="J6" s="31"/>
      <c r="K6" s="31"/>
      <c r="L6" s="31"/>
      <c r="M6" s="32"/>
    </row>
    <row r="7" spans="1:17">
      <c r="A7" s="92" t="s">
        <v>9</v>
      </c>
      <c r="B7" s="51" t="str">
        <f t="shared" si="0"/>
        <v/>
      </c>
      <c r="C7" s="132"/>
      <c r="D7" s="31">
        <f>F7-[1]Slovakia!D7</f>
        <v>0</v>
      </c>
      <c r="E7" s="164"/>
      <c r="F7" s="31"/>
      <c r="G7" s="31"/>
      <c r="H7" s="31"/>
      <c r="I7" s="31"/>
      <c r="J7" s="31"/>
      <c r="K7" s="31"/>
      <c r="L7" s="31"/>
      <c r="M7" s="32"/>
    </row>
    <row r="8" spans="1:17">
      <c r="A8" s="92" t="s">
        <v>26</v>
      </c>
      <c r="B8" s="51" t="str">
        <f t="shared" si="0"/>
        <v/>
      </c>
      <c r="C8" s="132"/>
      <c r="D8" s="31">
        <f>F8-[1]Slovakia!D8</f>
        <v>0</v>
      </c>
      <c r="E8" s="164"/>
      <c r="F8" s="31"/>
      <c r="G8" s="31"/>
      <c r="H8" s="31"/>
      <c r="I8" s="31"/>
      <c r="J8" s="31"/>
      <c r="K8" s="31"/>
      <c r="L8" s="31"/>
      <c r="M8" s="32"/>
    </row>
    <row r="9" spans="1:17">
      <c r="A9" s="92" t="s">
        <v>12</v>
      </c>
      <c r="B9" s="51" t="str">
        <f t="shared" si="0"/>
        <v/>
      </c>
      <c r="C9" s="132"/>
      <c r="D9" s="31">
        <f>F9-[1]Slovakia!D9</f>
        <v>0</v>
      </c>
      <c r="E9" s="164"/>
      <c r="F9" s="31"/>
      <c r="G9" s="31"/>
      <c r="H9" s="31"/>
      <c r="I9" s="31"/>
      <c r="J9" s="70"/>
      <c r="K9" s="70"/>
      <c r="L9" s="31"/>
      <c r="M9" s="150"/>
    </row>
    <row r="10" spans="1:17" ht="13.8" thickBot="1">
      <c r="A10" s="92" t="s">
        <v>5</v>
      </c>
      <c r="B10" s="51" t="str">
        <f t="shared" si="0"/>
        <v/>
      </c>
      <c r="C10" s="132"/>
      <c r="D10" s="31">
        <f>F10-[1]Slovakia!D10</f>
        <v>0</v>
      </c>
      <c r="E10" s="164"/>
      <c r="F10" s="31"/>
      <c r="G10" s="31"/>
      <c r="H10" s="31"/>
      <c r="I10" s="31"/>
      <c r="J10" s="70"/>
      <c r="K10" s="70"/>
      <c r="L10" s="31"/>
      <c r="M10" s="150"/>
    </row>
    <row r="11" spans="1:17" ht="13.8" thickBot="1">
      <c r="A11" s="144" t="s">
        <v>93</v>
      </c>
      <c r="B11" s="38" t="str">
        <f t="shared" si="0"/>
        <v/>
      </c>
      <c r="C11" s="133"/>
      <c r="D11" s="39">
        <f>F11-[1]Slovakia!D11</f>
        <v>0</v>
      </c>
      <c r="E11" s="163"/>
      <c r="F11" s="39"/>
      <c r="G11" s="39"/>
      <c r="H11" s="39"/>
      <c r="I11" s="39"/>
      <c r="J11" s="39"/>
      <c r="K11" s="39"/>
      <c r="L11" s="39"/>
      <c r="M11" s="40"/>
    </row>
    <row r="12" spans="1:17">
      <c r="B12" s="57"/>
      <c r="C12" s="57"/>
      <c r="D12" s="57"/>
      <c r="E12" s="57"/>
      <c r="F12" s="57"/>
      <c r="G12" s="57"/>
      <c r="H12" s="57"/>
      <c r="I12" s="57"/>
      <c r="L12" s="57"/>
    </row>
    <row r="13" spans="1:17" ht="13.8" thickBot="1">
      <c r="B13" s="57"/>
      <c r="C13" s="57"/>
      <c r="D13" s="57"/>
      <c r="E13" s="57"/>
      <c r="F13" s="57"/>
      <c r="G13" s="57"/>
      <c r="H13" s="57"/>
      <c r="I13" s="57"/>
      <c r="L13" s="57"/>
    </row>
    <row r="14" spans="1:17" ht="13.8" thickBot="1">
      <c r="A14" s="27" t="s">
        <v>92</v>
      </c>
      <c r="B14" s="12" t="s">
        <v>184</v>
      </c>
      <c r="C14" s="117" t="s">
        <v>185</v>
      </c>
      <c r="D14" s="42" t="s">
        <v>179</v>
      </c>
      <c r="E14" s="156">
        <v>45261</v>
      </c>
      <c r="F14" s="13">
        <v>44896</v>
      </c>
      <c r="G14" s="13">
        <v>44531</v>
      </c>
      <c r="H14" s="13">
        <v>44166</v>
      </c>
      <c r="I14" s="13">
        <v>43800</v>
      </c>
      <c r="J14" s="13">
        <v>43435</v>
      </c>
      <c r="K14" s="13">
        <v>43070</v>
      </c>
      <c r="L14" s="13">
        <v>42705</v>
      </c>
      <c r="M14" s="44">
        <v>42339</v>
      </c>
    </row>
    <row r="15" spans="1:17">
      <c r="A15" s="92" t="s">
        <v>6</v>
      </c>
      <c r="B15" s="51" t="str">
        <f>IFERROR((E15/F15-1), "")</f>
        <v/>
      </c>
      <c r="C15" s="132"/>
      <c r="D15" s="31">
        <f>F15-[1]Slovakia!D15</f>
        <v>0</v>
      </c>
      <c r="E15" s="164"/>
      <c r="F15" s="31"/>
      <c r="G15" s="31"/>
      <c r="H15" s="31"/>
      <c r="I15" s="31"/>
      <c r="J15" s="31"/>
      <c r="K15" s="31"/>
      <c r="L15" s="31"/>
      <c r="M15" s="32"/>
    </row>
    <row r="16" spans="1:17">
      <c r="A16" s="92" t="s">
        <v>123</v>
      </c>
      <c r="B16" s="51" t="str">
        <f>IFERROR((E16/F16-1), "")</f>
        <v/>
      </c>
      <c r="C16" s="132"/>
      <c r="D16" s="31">
        <f>F16-[1]Slovakia!D16</f>
        <v>0</v>
      </c>
      <c r="E16" s="164"/>
      <c r="F16" s="31"/>
      <c r="G16" s="31"/>
      <c r="H16" s="31"/>
      <c r="I16" s="31"/>
      <c r="J16" s="31"/>
      <c r="K16" s="31"/>
      <c r="L16" s="31"/>
      <c r="M16" s="32"/>
    </row>
    <row r="17" spans="1:14" ht="13.8" thickBot="1">
      <c r="A17" s="92" t="s">
        <v>5</v>
      </c>
      <c r="B17" s="51" t="str">
        <f>IFERROR((E17/F17-1), "")</f>
        <v/>
      </c>
      <c r="C17" s="132"/>
      <c r="D17" s="31">
        <f>F17-[1]Slovakia!D17</f>
        <v>0</v>
      </c>
      <c r="E17" s="164"/>
      <c r="F17" s="31"/>
      <c r="G17" s="31"/>
      <c r="H17" s="31"/>
      <c r="I17" s="31"/>
      <c r="J17" s="31"/>
      <c r="K17" s="31"/>
      <c r="L17" s="31"/>
      <c r="M17" s="32"/>
      <c r="N17" s="25"/>
    </row>
    <row r="18" spans="1:14" ht="13.8" thickBot="1">
      <c r="A18" s="11" t="s">
        <v>93</v>
      </c>
      <c r="B18" s="81" t="str">
        <f>IFERROR((E18/F18-1), "")</f>
        <v/>
      </c>
      <c r="C18" s="149"/>
      <c r="D18" s="143">
        <f>F18-[1]Slovakia!D18</f>
        <v>0</v>
      </c>
      <c r="E18" s="178"/>
      <c r="F18" s="143"/>
      <c r="G18" s="143"/>
      <c r="H18" s="143"/>
      <c r="I18" s="143"/>
      <c r="J18" s="143"/>
      <c r="K18" s="143"/>
      <c r="L18" s="143"/>
      <c r="M18" s="151"/>
    </row>
  </sheetData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7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1.109375" style="26" customWidth="1"/>
    <col min="12" max="12" width="10.6640625" style="26" customWidth="1"/>
    <col min="13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50" t="s">
        <v>126</v>
      </c>
      <c r="B2" s="51">
        <f t="shared" ref="B2:B8" si="0">IFERROR((E2/F2-1), "")</f>
        <v>-0.10265073822486159</v>
      </c>
      <c r="C2" s="132">
        <f>E2-[1]Spain!C2</f>
        <v>1092.5784051956034</v>
      </c>
      <c r="D2" s="31">
        <f>F2-[1]Spain!D2</f>
        <v>2642.7454123459684</v>
      </c>
      <c r="E2" s="164">
        <v>17806.90735584747</v>
      </c>
      <c r="F2" s="31">
        <v>19843.898150227265</v>
      </c>
      <c r="G2" s="31">
        <v>21620.181279583096</v>
      </c>
      <c r="H2" s="31">
        <v>19820.965164330286</v>
      </c>
      <c r="I2" s="31">
        <v>27594.059481063272</v>
      </c>
      <c r="J2" s="31">
        <v>26806.301271697524</v>
      </c>
      <c r="K2" s="31">
        <v>18963</v>
      </c>
      <c r="L2" s="31">
        <v>23980.13233051719</v>
      </c>
      <c r="M2" s="31">
        <v>21091.563978834696</v>
      </c>
      <c r="N2" s="31">
        <v>19367.057742851477</v>
      </c>
      <c r="O2" s="31">
        <v>18251.537888850202</v>
      </c>
      <c r="P2" s="31">
        <v>11399</v>
      </c>
      <c r="Q2" s="31">
        <v>16300</v>
      </c>
      <c r="R2" s="31">
        <v>16964</v>
      </c>
      <c r="S2" s="31">
        <v>12154</v>
      </c>
      <c r="T2" s="31">
        <v>16054</v>
      </c>
      <c r="U2" s="31">
        <v>17111</v>
      </c>
      <c r="V2" s="32">
        <v>8901</v>
      </c>
    </row>
    <row r="3" spans="1:22">
      <c r="A3" s="50" t="s">
        <v>127</v>
      </c>
      <c r="B3" s="51">
        <f t="shared" si="0"/>
        <v>-0.21689711126282041</v>
      </c>
      <c r="C3" s="132">
        <f>E3-[1]Spain!C3</f>
        <v>-5316.8752919545241</v>
      </c>
      <c r="D3" s="31">
        <f>F3-[1]Spain!D3</f>
        <v>-7034.3608303285291</v>
      </c>
      <c r="E3" s="164">
        <v>12728.653276086794</v>
      </c>
      <c r="F3" s="31">
        <v>16254.126321271571</v>
      </c>
      <c r="G3" s="31">
        <v>22903.94016882826</v>
      </c>
      <c r="H3" s="31">
        <v>17775.04632320517</v>
      </c>
      <c r="I3" s="31">
        <v>21673.397933309396</v>
      </c>
      <c r="J3" s="31">
        <v>14863.066212878861</v>
      </c>
      <c r="K3" s="31">
        <v>13943</v>
      </c>
      <c r="L3" s="31">
        <v>19024.393281473887</v>
      </c>
      <c r="M3" s="31">
        <v>12068.416704805642</v>
      </c>
      <c r="N3" s="31">
        <v>14446.001697970456</v>
      </c>
      <c r="O3" s="31">
        <v>8142.9426604443006</v>
      </c>
      <c r="P3" s="31">
        <v>6545</v>
      </c>
      <c r="Q3" s="31">
        <v>11990</v>
      </c>
      <c r="R3" s="31">
        <v>13792</v>
      </c>
      <c r="S3" s="31">
        <v>9512</v>
      </c>
      <c r="T3" s="31">
        <v>13255</v>
      </c>
      <c r="U3" s="31">
        <v>17419</v>
      </c>
      <c r="V3" s="32">
        <v>6713</v>
      </c>
    </row>
    <row r="4" spans="1:22">
      <c r="A4" s="50" t="s">
        <v>128</v>
      </c>
      <c r="B4" s="51">
        <f t="shared" si="0"/>
        <v>0.18929396846908042</v>
      </c>
      <c r="C4" s="132">
        <f>E4-[1]Spain!C4</f>
        <v>-10312.881694176263</v>
      </c>
      <c r="D4" s="31">
        <f>F4-[1]Spain!D4</f>
        <v>-15805.148863079841</v>
      </c>
      <c r="E4" s="164">
        <v>117559.07418380084</v>
      </c>
      <c r="F4" s="31">
        <v>98847.784736627262</v>
      </c>
      <c r="G4" s="31">
        <v>145669.5831636677</v>
      </c>
      <c r="H4" s="31">
        <v>96231.296126849964</v>
      </c>
      <c r="I4" s="31">
        <v>178437.2539928956</v>
      </c>
      <c r="J4" s="31">
        <v>128115.07014459818</v>
      </c>
      <c r="K4" s="31">
        <v>129740</v>
      </c>
      <c r="L4" s="31">
        <v>156729.04370508128</v>
      </c>
      <c r="M4" s="31">
        <v>121790.56843934231</v>
      </c>
      <c r="N4" s="31">
        <v>149574.31837674047</v>
      </c>
      <c r="O4" s="31">
        <v>129405.15906553823</v>
      </c>
      <c r="P4" s="31">
        <v>99596</v>
      </c>
      <c r="Q4" s="31">
        <v>145494</v>
      </c>
      <c r="R4" s="31">
        <v>143074</v>
      </c>
      <c r="S4" s="31">
        <v>112319</v>
      </c>
      <c r="T4" s="31">
        <v>140259</v>
      </c>
      <c r="U4" s="31">
        <v>124954</v>
      </c>
      <c r="V4" s="32">
        <v>120281</v>
      </c>
    </row>
    <row r="5" spans="1:22">
      <c r="A5" s="50" t="s">
        <v>16</v>
      </c>
      <c r="B5" s="51">
        <f t="shared" si="0"/>
        <v>0.30498571606528047</v>
      </c>
      <c r="C5" s="132">
        <f>E5-[1]Spain!C5</f>
        <v>-2700.3155124926598</v>
      </c>
      <c r="D5" s="31">
        <f>F5-[1]Spain!D5</f>
        <v>-1399.8840776638099</v>
      </c>
      <c r="E5" s="164">
        <v>22464.407475185351</v>
      </c>
      <c r="F5" s="31">
        <v>17214.293764776805</v>
      </c>
      <c r="G5" s="31">
        <v>28303.605786594846</v>
      </c>
      <c r="H5" s="31">
        <v>17415.944983597343</v>
      </c>
      <c r="I5" s="31">
        <v>26990.137924779632</v>
      </c>
      <c r="J5" s="31">
        <v>22689.884267706868</v>
      </c>
      <c r="K5" s="31">
        <v>21873</v>
      </c>
      <c r="L5" s="31">
        <v>20887.990238155246</v>
      </c>
      <c r="M5" s="31">
        <v>18453.939691443353</v>
      </c>
      <c r="N5" s="31">
        <v>16680.088608967319</v>
      </c>
      <c r="O5" s="31">
        <v>16809.586747869031</v>
      </c>
      <c r="P5" s="31">
        <v>10204</v>
      </c>
      <c r="Q5" s="31">
        <v>11788</v>
      </c>
      <c r="R5" s="31">
        <v>9070</v>
      </c>
      <c r="S5" s="31">
        <v>12329</v>
      </c>
      <c r="T5" s="31">
        <v>9746</v>
      </c>
      <c r="U5" s="31">
        <v>7898</v>
      </c>
      <c r="V5" s="32">
        <v>6124</v>
      </c>
    </row>
    <row r="6" spans="1:22">
      <c r="A6" s="50" t="s">
        <v>18</v>
      </c>
      <c r="B6" s="51">
        <f t="shared" si="0"/>
        <v>0.1750037289453017</v>
      </c>
      <c r="C6" s="132">
        <f>E6-[1]Spain!C6</f>
        <v>-738.73814153891726</v>
      </c>
      <c r="D6" s="31">
        <f>F6-[1]Spain!D6</f>
        <v>-1189.6669933117173</v>
      </c>
      <c r="E6" s="164">
        <v>12856.945345728149</v>
      </c>
      <c r="F6" s="31">
        <v>10942.046419945158</v>
      </c>
      <c r="G6" s="31">
        <v>17967.938241427502</v>
      </c>
      <c r="H6" s="31">
        <v>11842.796550250374</v>
      </c>
      <c r="I6" s="31">
        <v>19745.011511594101</v>
      </c>
      <c r="J6" s="31">
        <v>17644.687647089344</v>
      </c>
      <c r="K6" s="31">
        <v>16224</v>
      </c>
      <c r="L6" s="31">
        <v>16862.203924092486</v>
      </c>
      <c r="M6" s="70">
        <v>16693.184859854653</v>
      </c>
      <c r="N6" s="70">
        <v>15730.251222251934</v>
      </c>
      <c r="O6" s="70">
        <v>13443.717007729632</v>
      </c>
      <c r="P6" s="70">
        <v>9836</v>
      </c>
      <c r="Q6" s="70">
        <v>15718</v>
      </c>
      <c r="R6" s="70">
        <v>17463</v>
      </c>
      <c r="S6" s="70">
        <v>14600</v>
      </c>
      <c r="T6" s="70">
        <v>28559</v>
      </c>
      <c r="U6" s="31">
        <v>23082</v>
      </c>
      <c r="V6" s="32">
        <v>22290</v>
      </c>
    </row>
    <row r="7" spans="1:22" ht="13.8" thickBot="1">
      <c r="A7" s="72" t="s">
        <v>58</v>
      </c>
      <c r="B7" s="53">
        <f t="shared" si="0"/>
        <v>0.17212155653294325</v>
      </c>
      <c r="C7" s="134">
        <f>E7-[1]Spain!C7</f>
        <v>11530.808074610803</v>
      </c>
      <c r="D7" s="35">
        <f>F7-[1]Spain!D7</f>
        <v>8543.757216218446</v>
      </c>
      <c r="E7" s="166">
        <v>23760.92</v>
      </c>
      <c r="F7" s="35">
        <v>20271.72</v>
      </c>
      <c r="G7" s="35">
        <v>22317.42</v>
      </c>
      <c r="H7" s="35">
        <v>19652.52</v>
      </c>
      <c r="I7" s="35">
        <v>22723.52</v>
      </c>
      <c r="J7" s="35">
        <v>15777.255000000001</v>
      </c>
      <c r="K7" s="35">
        <v>13639</v>
      </c>
      <c r="L7" s="35">
        <v>11304</v>
      </c>
      <c r="M7" s="73">
        <v>10992.6</v>
      </c>
      <c r="N7" s="73">
        <v>11292.54</v>
      </c>
      <c r="O7" s="73">
        <v>9866.527</v>
      </c>
      <c r="P7" s="73">
        <v>8275</v>
      </c>
      <c r="Q7" s="73">
        <v>11292</v>
      </c>
      <c r="R7" s="73">
        <v>8820</v>
      </c>
      <c r="S7" s="73">
        <v>7850</v>
      </c>
      <c r="T7" s="73">
        <v>9242</v>
      </c>
      <c r="U7" s="35">
        <v>7696</v>
      </c>
      <c r="V7" s="36">
        <v>6984</v>
      </c>
    </row>
    <row r="8" spans="1:22" ht="13.8" thickBot="1">
      <c r="A8" s="74" t="s">
        <v>22</v>
      </c>
      <c r="B8" s="54">
        <f t="shared" si="0"/>
        <v>0.12980605318856209</v>
      </c>
      <c r="C8" s="135">
        <f>E8-[1]Spain!C8</f>
        <v>-6445.4241603559931</v>
      </c>
      <c r="D8" s="55">
        <f>F8-[1]Spain!D8</f>
        <v>-14242.558135819447</v>
      </c>
      <c r="E8" s="167">
        <f>SUM(E2:E7)</f>
        <v>207176.90763664857</v>
      </c>
      <c r="F8" s="55">
        <f>SUM(F2:F7)</f>
        <v>183373.86939284808</v>
      </c>
      <c r="G8" s="55">
        <f>SUM(G2:G7)</f>
        <v>258782.66864010144</v>
      </c>
      <c r="H8" s="55">
        <f>SUM(H2:H7)</f>
        <v>182738.56914823313</v>
      </c>
      <c r="I8" s="55">
        <f>SUM(I2:I7)</f>
        <v>297163.38084364199</v>
      </c>
      <c r="J8" s="55">
        <v>225896</v>
      </c>
      <c r="K8" s="55">
        <v>214382</v>
      </c>
      <c r="L8" s="55">
        <f>SUM(L2:L7)</f>
        <v>248787.76347932007</v>
      </c>
      <c r="M8" s="55">
        <f>SUM(M2:M7)</f>
        <v>201090.27367428067</v>
      </c>
      <c r="N8" s="55">
        <f>SUM(N2:N7)</f>
        <v>227090.25764878167</v>
      </c>
      <c r="O8" s="55">
        <f>SUM(O2:O7)</f>
        <v>195919.4703704314</v>
      </c>
      <c r="P8" s="55">
        <f>SUM(P2:P7)</f>
        <v>145855</v>
      </c>
      <c r="Q8" s="55">
        <f t="shared" ref="Q8:V8" si="1">SUM(Q2:Q7)</f>
        <v>212582</v>
      </c>
      <c r="R8" s="55">
        <f t="shared" si="1"/>
        <v>209183</v>
      </c>
      <c r="S8" s="55">
        <f t="shared" si="1"/>
        <v>168764</v>
      </c>
      <c r="T8" s="55">
        <f t="shared" si="1"/>
        <v>217115</v>
      </c>
      <c r="U8" s="55">
        <f t="shared" si="1"/>
        <v>198160</v>
      </c>
      <c r="V8" s="56">
        <f t="shared" si="1"/>
        <v>171293</v>
      </c>
    </row>
    <row r="9" spans="1:2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22" ht="13.8" thickBot="1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22" ht="13.8" thickBot="1">
      <c r="A11" s="27" t="s">
        <v>24</v>
      </c>
      <c r="B11" s="12" t="s">
        <v>184</v>
      </c>
      <c r="C11" s="117" t="s">
        <v>185</v>
      </c>
      <c r="D11" s="42" t="s">
        <v>179</v>
      </c>
      <c r="E11" s="156">
        <v>45261</v>
      </c>
      <c r="F11" s="13">
        <v>44896</v>
      </c>
      <c r="G11" s="13">
        <v>44531</v>
      </c>
      <c r="H11" s="13">
        <v>44166</v>
      </c>
      <c r="I11" s="13">
        <v>43800</v>
      </c>
      <c r="J11" s="13">
        <v>43435</v>
      </c>
      <c r="K11" s="13">
        <v>43070</v>
      </c>
      <c r="L11" s="13">
        <v>42705</v>
      </c>
      <c r="M11" s="28">
        <f>M1</f>
        <v>42339</v>
      </c>
      <c r="N11" s="28">
        <f>N1</f>
        <v>41974</v>
      </c>
      <c r="O11" s="28">
        <v>41609</v>
      </c>
      <c r="P11" s="28">
        <v>41244</v>
      </c>
      <c r="Q11" s="28">
        <v>40878</v>
      </c>
      <c r="R11" s="28">
        <v>40513</v>
      </c>
      <c r="S11" s="28">
        <v>40148</v>
      </c>
      <c r="T11" s="28">
        <v>39783</v>
      </c>
      <c r="U11" s="28">
        <v>39417</v>
      </c>
      <c r="V11" s="44">
        <v>39052</v>
      </c>
    </row>
    <row r="12" spans="1:22">
      <c r="A12" s="50" t="s">
        <v>37</v>
      </c>
      <c r="B12" s="51">
        <f t="shared" ref="B12:B17" si="2">IFERROR((E12/F12-1), "")</f>
        <v>-0.25850311802061221</v>
      </c>
      <c r="C12" s="132">
        <f>E12-[1]Spain!C12</f>
        <v>-454.5532947950644</v>
      </c>
      <c r="D12" s="31">
        <f>F12-[1]Spain!D12</f>
        <v>-990.56453812882773</v>
      </c>
      <c r="E12" s="164">
        <v>1307.1817497566828</v>
      </c>
      <c r="F12" s="31">
        <v>1762.8958145679971</v>
      </c>
      <c r="G12" s="31">
        <v>1976.122992945227</v>
      </c>
      <c r="H12" s="31">
        <v>4105.9411879520385</v>
      </c>
      <c r="I12" s="31">
        <v>5554.0069952975846</v>
      </c>
      <c r="J12" s="31">
        <v>3760.4451204598063</v>
      </c>
      <c r="K12" s="31">
        <v>5055</v>
      </c>
      <c r="L12" s="31">
        <v>5129.3937147215702</v>
      </c>
      <c r="M12" s="31">
        <v>3983.7321032926498</v>
      </c>
      <c r="N12" s="31">
        <v>4652</v>
      </c>
      <c r="O12" s="31">
        <v>8768.2067935227915</v>
      </c>
      <c r="P12" s="31">
        <v>4190</v>
      </c>
      <c r="Q12" s="31">
        <v>9131</v>
      </c>
      <c r="R12" s="31">
        <v>7869</v>
      </c>
      <c r="S12" s="31">
        <v>7480</v>
      </c>
      <c r="T12" s="31">
        <v>6250</v>
      </c>
      <c r="U12" s="31">
        <v>8339</v>
      </c>
      <c r="V12" s="32">
        <v>9919</v>
      </c>
    </row>
    <row r="13" spans="1:22">
      <c r="A13" s="50" t="s">
        <v>38</v>
      </c>
      <c r="B13" s="51">
        <f t="shared" si="2"/>
        <v>-0.13136891156719255</v>
      </c>
      <c r="C13" s="132">
        <f>E13-[1]Spain!C13</f>
        <v>-241.38293394003267</v>
      </c>
      <c r="D13" s="31">
        <f>F13-[1]Spain!D13</f>
        <v>-966.47350784775335</v>
      </c>
      <c r="E13" s="164">
        <v>2959.8792187082263</v>
      </c>
      <c r="F13" s="31">
        <v>3407.5216258359678</v>
      </c>
      <c r="G13" s="31">
        <v>2950.3223091349842</v>
      </c>
      <c r="H13" s="31">
        <v>7727.3158637739771</v>
      </c>
      <c r="I13" s="31">
        <v>6609.2170484000571</v>
      </c>
      <c r="J13" s="31">
        <v>8061.7302961404994</v>
      </c>
      <c r="K13" s="31">
        <v>12358</v>
      </c>
      <c r="L13" s="31">
        <v>13998.002729425983</v>
      </c>
      <c r="M13" s="31">
        <v>9967.9743692551929</v>
      </c>
      <c r="N13" s="31">
        <v>14886</v>
      </c>
      <c r="O13" s="31">
        <v>15053.32890977768</v>
      </c>
      <c r="P13" s="31">
        <v>11631</v>
      </c>
      <c r="Q13" s="31">
        <v>19399</v>
      </c>
      <c r="R13" s="31">
        <v>25304</v>
      </c>
      <c r="S13" s="31">
        <v>23226</v>
      </c>
      <c r="T13" s="31">
        <v>17519</v>
      </c>
      <c r="U13" s="31">
        <v>36535</v>
      </c>
      <c r="V13" s="32">
        <v>33634</v>
      </c>
    </row>
    <row r="14" spans="1:22">
      <c r="A14" s="50" t="s">
        <v>6</v>
      </c>
      <c r="B14" s="51">
        <f t="shared" si="2"/>
        <v>0.25298342503905413</v>
      </c>
      <c r="C14" s="132">
        <f>E14-[1]Spain!C14</f>
        <v>-5190.4096893822352</v>
      </c>
      <c r="D14" s="31">
        <f>F14-[1]Spain!D14</f>
        <v>-4819.2739592031285</v>
      </c>
      <c r="E14" s="164">
        <v>48038.209753971059</v>
      </c>
      <c r="F14" s="31">
        <v>38339.062428119316</v>
      </c>
      <c r="G14" s="31">
        <v>57454.848356210416</v>
      </c>
      <c r="H14" s="31">
        <v>53875.756077864389</v>
      </c>
      <c r="I14" s="31">
        <v>61045.936937998616</v>
      </c>
      <c r="J14" s="31">
        <v>54063.204243542248</v>
      </c>
      <c r="K14" s="31">
        <v>63233</v>
      </c>
      <c r="L14" s="31">
        <v>54244.45931730084</v>
      </c>
      <c r="M14" s="31">
        <v>50763.457525502439</v>
      </c>
      <c r="N14" s="31">
        <v>70184</v>
      </c>
      <c r="O14" s="31">
        <v>79212.417099036829</v>
      </c>
      <c r="P14" s="31">
        <v>49318</v>
      </c>
      <c r="Q14" s="31">
        <v>85133</v>
      </c>
      <c r="R14" s="31">
        <v>81939</v>
      </c>
      <c r="S14" s="31">
        <v>51541</v>
      </c>
      <c r="T14" s="31">
        <v>68293</v>
      </c>
      <c r="U14" s="31">
        <v>47416</v>
      </c>
      <c r="V14" s="32">
        <v>64099</v>
      </c>
    </row>
    <row r="15" spans="1:22">
      <c r="A15" s="50" t="s">
        <v>129</v>
      </c>
      <c r="B15" s="51">
        <f t="shared" si="2"/>
        <v>7.7980655841288797</v>
      </c>
      <c r="C15" s="132">
        <f>E15-[1]Spain!C15</f>
        <v>-465.7279540093615</v>
      </c>
      <c r="D15" s="31">
        <f>F15-[1]Spain!D15</f>
        <v>-947.40951674452799</v>
      </c>
      <c r="E15" s="164">
        <v>772.31655673697594</v>
      </c>
      <c r="F15" s="31">
        <v>87.782541440721147</v>
      </c>
      <c r="G15" s="31">
        <v>61.687875031999376</v>
      </c>
      <c r="H15" s="31">
        <v>267.06733886906937</v>
      </c>
      <c r="I15" s="31">
        <v>271.52974882065035</v>
      </c>
      <c r="J15" s="31">
        <v>528.37223282675279</v>
      </c>
      <c r="K15" s="31">
        <v>0</v>
      </c>
      <c r="L15" s="31">
        <v>298.18988327771331</v>
      </c>
      <c r="M15" s="31">
        <v>67.108960458830268</v>
      </c>
      <c r="N15" s="31">
        <v>92</v>
      </c>
      <c r="O15" s="31">
        <v>1086.949602544162</v>
      </c>
      <c r="P15" s="31">
        <v>0</v>
      </c>
      <c r="Q15" s="31">
        <v>81</v>
      </c>
      <c r="R15" s="31">
        <v>37</v>
      </c>
      <c r="S15" s="31">
        <v>73</v>
      </c>
      <c r="T15" s="31">
        <v>183</v>
      </c>
      <c r="U15" s="31">
        <v>0</v>
      </c>
      <c r="V15" s="32">
        <v>0</v>
      </c>
    </row>
    <row r="16" spans="1:22" ht="13.8" thickBot="1">
      <c r="A16" s="52" t="s">
        <v>58</v>
      </c>
      <c r="B16" s="53">
        <f t="shared" si="2"/>
        <v>-4.1876807228995006E-2</v>
      </c>
      <c r="C16" s="134">
        <f>E16-[1]Spain!C16</f>
        <v>-4727.0537293786465</v>
      </c>
      <c r="D16" s="35">
        <f>F16-[1]Spain!D16</f>
        <v>-3178.8005571344011</v>
      </c>
      <c r="E16" s="166">
        <v>2721.9822472078704</v>
      </c>
      <c r="F16" s="35">
        <v>2840.9522572306987</v>
      </c>
      <c r="G16" s="35">
        <v>2062.3661448770517</v>
      </c>
      <c r="H16" s="35">
        <v>4291.2464381118307</v>
      </c>
      <c r="I16" s="35">
        <v>5852.1376885930267</v>
      </c>
      <c r="J16" s="35">
        <v>5563.3263804258204</v>
      </c>
      <c r="K16" s="35">
        <v>5928</v>
      </c>
      <c r="L16" s="35">
        <v>6130.2767529041766</v>
      </c>
      <c r="M16" s="35">
        <v>5543.960882821053</v>
      </c>
      <c r="N16" s="35">
        <v>5878</v>
      </c>
      <c r="O16" s="35">
        <v>7440.9813824359717</v>
      </c>
      <c r="P16" s="35">
        <v>3929</v>
      </c>
      <c r="Q16" s="35">
        <v>12037</v>
      </c>
      <c r="R16" s="35">
        <v>7887</v>
      </c>
      <c r="S16" s="35">
        <v>5822</v>
      </c>
      <c r="T16" s="35">
        <v>7348</v>
      </c>
      <c r="U16" s="35">
        <v>11657</v>
      </c>
      <c r="V16" s="36">
        <v>13238</v>
      </c>
    </row>
    <row r="17" spans="1:22" ht="13.8" thickBot="1">
      <c r="A17" s="37" t="s">
        <v>22</v>
      </c>
      <c r="B17" s="54">
        <f t="shared" si="2"/>
        <v>0.20158731179214029</v>
      </c>
      <c r="C17" s="135">
        <f>E17-[1]Spain!C17</f>
        <v>-11079.127601505345</v>
      </c>
      <c r="D17" s="55">
        <f>F17-[1]Spain!D17</f>
        <v>-10902.522079058639</v>
      </c>
      <c r="E17" s="167">
        <f>SUM(E12:E16)</f>
        <v>55799.569526380816</v>
      </c>
      <c r="F17" s="55">
        <f>SUM(F12:F16)</f>
        <v>46438.214667194698</v>
      </c>
      <c r="G17" s="55">
        <f>SUM(G12:G16)</f>
        <v>64505.34767819968</v>
      </c>
      <c r="H17" s="55">
        <f>SUM(H12:H16)</f>
        <v>70267.326906571296</v>
      </c>
      <c r="I17" s="55">
        <f>SUM(I12:I16)</f>
        <v>79332.828419109937</v>
      </c>
      <c r="J17" s="55">
        <v>71976</v>
      </c>
      <c r="K17" s="55">
        <v>86574</v>
      </c>
      <c r="L17" s="55">
        <f>SUM(L12:L16)</f>
        <v>79800.322397630269</v>
      </c>
      <c r="M17" s="55">
        <f>SUM(M12:M16)</f>
        <v>70326.233841330162</v>
      </c>
      <c r="N17" s="55">
        <f>SUM(N12:N16)</f>
        <v>95692</v>
      </c>
      <c r="O17" s="55">
        <f>SUM(O12:O16)</f>
        <v>111561.88378731743</v>
      </c>
      <c r="P17" s="55">
        <f>SUM(P12:P16)</f>
        <v>69068</v>
      </c>
      <c r="Q17" s="55">
        <f t="shared" ref="Q17:V17" si="3">SUM(Q12:Q16)</f>
        <v>125781</v>
      </c>
      <c r="R17" s="55">
        <f t="shared" si="3"/>
        <v>123036</v>
      </c>
      <c r="S17" s="55">
        <f t="shared" si="3"/>
        <v>88142</v>
      </c>
      <c r="T17" s="55">
        <f t="shared" si="3"/>
        <v>99593</v>
      </c>
      <c r="U17" s="55">
        <f t="shared" si="3"/>
        <v>103947</v>
      </c>
      <c r="V17" s="56">
        <f t="shared" si="3"/>
        <v>120890</v>
      </c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46"/>
  <sheetViews>
    <sheetView zoomScaleNormal="100"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50" t="s">
        <v>3</v>
      </c>
      <c r="B2" s="51">
        <f t="shared" ref="B2:B19" si="0">IFERROR((E2/F2-1), "")</f>
        <v>-0.65826771653543314</v>
      </c>
      <c r="C2" s="132">
        <f>E2-[1]Switzerland!C2</f>
        <v>-510</v>
      </c>
      <c r="D2" s="31">
        <f>F2-[1]Switzerland!D2</f>
        <v>-431</v>
      </c>
      <c r="E2" s="164">
        <v>651</v>
      </c>
      <c r="F2" s="31">
        <v>1905</v>
      </c>
      <c r="G2" s="31">
        <v>644</v>
      </c>
      <c r="H2" s="31">
        <v>900</v>
      </c>
      <c r="I2" s="31">
        <v>314</v>
      </c>
      <c r="J2" s="31">
        <v>1025</v>
      </c>
      <c r="K2" s="31">
        <v>27</v>
      </c>
      <c r="L2" s="31">
        <v>708</v>
      </c>
      <c r="M2" s="31">
        <v>353</v>
      </c>
      <c r="N2" s="31">
        <v>466</v>
      </c>
      <c r="O2" s="31">
        <v>466</v>
      </c>
      <c r="P2" s="31">
        <v>472</v>
      </c>
      <c r="Q2" s="31">
        <v>661</v>
      </c>
      <c r="R2" s="31">
        <v>648</v>
      </c>
      <c r="S2" s="31">
        <v>220</v>
      </c>
      <c r="T2" s="31">
        <v>1541</v>
      </c>
      <c r="U2" s="31">
        <v>1487</v>
      </c>
      <c r="V2" s="32">
        <v>970</v>
      </c>
    </row>
    <row r="3" spans="1:22">
      <c r="A3" s="50" t="s">
        <v>10</v>
      </c>
      <c r="B3" s="51">
        <f t="shared" si="0"/>
        <v>1.6417243689970995E-2</v>
      </c>
      <c r="C3" s="132">
        <f>E3-[1]Switzerland!C3</f>
        <v>1267</v>
      </c>
      <c r="D3" s="31">
        <f>F3-[1]Switzerland!D3</f>
        <v>-237</v>
      </c>
      <c r="E3" s="164">
        <v>9101</v>
      </c>
      <c r="F3" s="31">
        <v>8954</v>
      </c>
      <c r="G3" s="31">
        <v>8648</v>
      </c>
      <c r="H3" s="31">
        <v>9064</v>
      </c>
      <c r="I3" s="31">
        <v>8521</v>
      </c>
      <c r="J3" s="31">
        <v>10107</v>
      </c>
      <c r="K3" s="31">
        <v>5303</v>
      </c>
      <c r="L3" s="31">
        <v>9217</v>
      </c>
      <c r="M3" s="31">
        <v>9661</v>
      </c>
      <c r="N3" s="31">
        <v>9134</v>
      </c>
      <c r="O3" s="31">
        <v>9931</v>
      </c>
      <c r="P3" s="31">
        <v>9102</v>
      </c>
      <c r="Q3" s="31">
        <v>9293</v>
      </c>
      <c r="R3" s="31">
        <v>8420</v>
      </c>
      <c r="S3" s="31">
        <v>8606</v>
      </c>
      <c r="T3" s="31">
        <v>6221</v>
      </c>
      <c r="U3" s="31">
        <v>6276</v>
      </c>
      <c r="V3" s="32">
        <v>5216</v>
      </c>
    </row>
    <row r="4" spans="1:22">
      <c r="A4" s="50" t="s">
        <v>4</v>
      </c>
      <c r="B4" s="51">
        <f t="shared" si="0"/>
        <v>-1</v>
      </c>
      <c r="C4" s="132">
        <f>E4-[1]Switzerland!C4</f>
        <v>0</v>
      </c>
      <c r="D4" s="31">
        <f>F4-[1]Switzerland!D4</f>
        <v>-273</v>
      </c>
      <c r="E4" s="164">
        <v>0</v>
      </c>
      <c r="F4" s="31">
        <v>183</v>
      </c>
      <c r="G4" s="31">
        <v>51</v>
      </c>
      <c r="H4" s="31">
        <v>0</v>
      </c>
      <c r="I4" s="31">
        <v>149</v>
      </c>
      <c r="J4" s="31">
        <v>336</v>
      </c>
      <c r="K4" s="31">
        <v>0</v>
      </c>
      <c r="L4" s="31">
        <v>78</v>
      </c>
      <c r="M4" s="31">
        <v>15</v>
      </c>
      <c r="N4" s="31">
        <v>0</v>
      </c>
      <c r="O4" s="31">
        <v>19</v>
      </c>
      <c r="P4" s="31">
        <v>3</v>
      </c>
      <c r="Q4" s="31">
        <v>334</v>
      </c>
      <c r="R4" s="31">
        <v>44</v>
      </c>
      <c r="S4" s="31">
        <v>55</v>
      </c>
      <c r="T4" s="31">
        <v>210</v>
      </c>
      <c r="U4" s="31">
        <v>295</v>
      </c>
      <c r="V4" s="32">
        <v>196</v>
      </c>
    </row>
    <row r="5" spans="1:22">
      <c r="A5" s="50" t="s">
        <v>1</v>
      </c>
      <c r="B5" s="51">
        <f t="shared" si="0"/>
        <v>-0.67647058823529416</v>
      </c>
      <c r="C5" s="132">
        <f>E5-[1]Switzerland!C5</f>
        <v>-16</v>
      </c>
      <c r="D5" s="31">
        <f>F5-[1]Switzerland!D5</f>
        <v>-48</v>
      </c>
      <c r="E5" s="164">
        <v>11</v>
      </c>
      <c r="F5" s="31">
        <v>34</v>
      </c>
      <c r="G5" s="31">
        <v>8</v>
      </c>
      <c r="H5" s="31">
        <v>13</v>
      </c>
      <c r="I5" s="31">
        <v>16</v>
      </c>
      <c r="J5" s="31">
        <v>30</v>
      </c>
      <c r="K5" s="31">
        <v>12</v>
      </c>
      <c r="L5" s="31">
        <v>154</v>
      </c>
      <c r="M5" s="31">
        <v>7</v>
      </c>
      <c r="N5" s="31">
        <v>14</v>
      </c>
      <c r="O5" s="31">
        <v>145</v>
      </c>
      <c r="P5" s="31">
        <v>19</v>
      </c>
      <c r="Q5" s="31">
        <v>203</v>
      </c>
      <c r="R5" s="31">
        <v>26</v>
      </c>
      <c r="S5" s="31">
        <v>163</v>
      </c>
      <c r="T5" s="31">
        <v>85</v>
      </c>
      <c r="U5" s="31">
        <v>259</v>
      </c>
      <c r="V5" s="32">
        <v>212</v>
      </c>
    </row>
    <row r="6" spans="1:22">
      <c r="A6" s="50" t="s">
        <v>8</v>
      </c>
      <c r="B6" s="51">
        <f t="shared" si="0"/>
        <v>1.6363253709354986E-2</v>
      </c>
      <c r="C6" s="132">
        <f>E6-[1]Switzerland!C6</f>
        <v>-3091</v>
      </c>
      <c r="D6" s="31">
        <f>F6-[1]Switzerland!D6</f>
        <v>-2745</v>
      </c>
      <c r="E6" s="164">
        <v>19317</v>
      </c>
      <c r="F6" s="31">
        <v>19006</v>
      </c>
      <c r="G6" s="31">
        <v>22339</v>
      </c>
      <c r="H6" s="31">
        <v>22379</v>
      </c>
      <c r="I6" s="31">
        <v>21204</v>
      </c>
      <c r="J6" s="31">
        <v>22587</v>
      </c>
      <c r="K6" s="31">
        <v>13579</v>
      </c>
      <c r="L6" s="31">
        <v>16644</v>
      </c>
      <c r="M6" s="31">
        <v>19346</v>
      </c>
      <c r="N6" s="31">
        <v>17440</v>
      </c>
      <c r="O6" s="31">
        <v>19119</v>
      </c>
      <c r="P6" s="31">
        <v>17301</v>
      </c>
      <c r="Q6" s="31">
        <v>20827</v>
      </c>
      <c r="R6" s="31">
        <v>16958</v>
      </c>
      <c r="S6" s="31">
        <v>19454</v>
      </c>
      <c r="T6" s="31">
        <v>13596</v>
      </c>
      <c r="U6" s="31">
        <v>16457</v>
      </c>
      <c r="V6" s="32">
        <v>12927</v>
      </c>
    </row>
    <row r="7" spans="1:22">
      <c r="A7" s="50" t="s">
        <v>130</v>
      </c>
      <c r="B7" s="51">
        <f t="shared" si="0"/>
        <v>-0.625</v>
      </c>
      <c r="C7" s="132">
        <f>E7-[1]Switzerland!C7</f>
        <v>-1</v>
      </c>
      <c r="D7" s="31">
        <f>F7-[1]Switzerland!D7</f>
        <v>-12</v>
      </c>
      <c r="E7" s="164">
        <v>21</v>
      </c>
      <c r="F7" s="31">
        <v>56</v>
      </c>
      <c r="G7" s="31">
        <v>52</v>
      </c>
      <c r="H7" s="31">
        <v>57</v>
      </c>
      <c r="I7" s="31">
        <v>68</v>
      </c>
      <c r="J7" s="31">
        <v>119</v>
      </c>
      <c r="K7" s="31">
        <v>36</v>
      </c>
      <c r="L7" s="31">
        <v>121</v>
      </c>
      <c r="M7" s="31">
        <v>184</v>
      </c>
      <c r="N7" s="31">
        <v>105</v>
      </c>
      <c r="O7" s="31">
        <v>187</v>
      </c>
      <c r="P7" s="31">
        <v>183</v>
      </c>
      <c r="Q7" s="31">
        <v>215</v>
      </c>
      <c r="R7" s="31">
        <v>547</v>
      </c>
      <c r="S7" s="31">
        <v>379</v>
      </c>
      <c r="T7" s="31">
        <v>677</v>
      </c>
      <c r="U7" s="31">
        <v>514</v>
      </c>
      <c r="V7" s="32">
        <v>649</v>
      </c>
    </row>
    <row r="8" spans="1:22">
      <c r="A8" s="50" t="s">
        <v>2</v>
      </c>
      <c r="B8" s="51">
        <f t="shared" si="0"/>
        <v>-1.7046034500357243E-2</v>
      </c>
      <c r="C8" s="132">
        <f>E8-[1]Switzerland!C8</f>
        <v>-961</v>
      </c>
      <c r="D8" s="31">
        <f>F8-[1]Switzerland!D8</f>
        <v>-622</v>
      </c>
      <c r="E8" s="164">
        <v>9630</v>
      </c>
      <c r="F8" s="31">
        <v>9797</v>
      </c>
      <c r="G8" s="31">
        <v>11888</v>
      </c>
      <c r="H8" s="31">
        <v>11227</v>
      </c>
      <c r="I8" s="31">
        <v>12537</v>
      </c>
      <c r="J8" s="31">
        <v>10886</v>
      </c>
      <c r="K8" s="31">
        <v>11031</v>
      </c>
      <c r="L8" s="31">
        <v>15162</v>
      </c>
      <c r="M8" s="70">
        <v>13267</v>
      </c>
      <c r="N8" s="70">
        <v>14398</v>
      </c>
      <c r="O8" s="70">
        <v>13264</v>
      </c>
      <c r="P8" s="70">
        <v>16180</v>
      </c>
      <c r="Q8" s="70">
        <v>16164</v>
      </c>
      <c r="R8" s="70">
        <v>18163</v>
      </c>
      <c r="S8" s="70">
        <v>18662</v>
      </c>
      <c r="T8" s="70">
        <v>19168</v>
      </c>
      <c r="U8" s="31">
        <v>20227</v>
      </c>
      <c r="V8" s="32">
        <v>21169</v>
      </c>
    </row>
    <row r="9" spans="1:22">
      <c r="A9" s="50" t="s">
        <v>16</v>
      </c>
      <c r="B9" s="51">
        <f t="shared" si="0"/>
        <v>0.16666666666666674</v>
      </c>
      <c r="C9" s="132">
        <f>E9-[1]Switzerland!C9</f>
        <v>-10</v>
      </c>
      <c r="D9" s="31">
        <f>F9-[1]Switzerland!D9</f>
        <v>-72</v>
      </c>
      <c r="E9" s="164">
        <v>420</v>
      </c>
      <c r="F9" s="31">
        <v>360</v>
      </c>
      <c r="G9" s="31">
        <v>604</v>
      </c>
      <c r="H9" s="31">
        <v>262</v>
      </c>
      <c r="I9" s="31">
        <v>431</v>
      </c>
      <c r="J9" s="31">
        <v>462</v>
      </c>
      <c r="K9" s="31">
        <v>283</v>
      </c>
      <c r="L9" s="31">
        <v>486</v>
      </c>
      <c r="M9" s="70">
        <v>415</v>
      </c>
      <c r="N9" s="70">
        <v>502</v>
      </c>
      <c r="O9" s="70">
        <v>453</v>
      </c>
      <c r="P9" s="70">
        <v>558</v>
      </c>
      <c r="Q9" s="70">
        <v>375</v>
      </c>
      <c r="R9" s="70">
        <v>517</v>
      </c>
      <c r="S9" s="70">
        <v>501</v>
      </c>
      <c r="T9" s="70">
        <v>859</v>
      </c>
      <c r="U9" s="31">
        <v>336</v>
      </c>
      <c r="V9" s="32">
        <v>701</v>
      </c>
    </row>
    <row r="10" spans="1:22">
      <c r="A10" s="50" t="s">
        <v>9</v>
      </c>
      <c r="B10" s="51">
        <f t="shared" si="0"/>
        <v>-0.44327176781002642</v>
      </c>
      <c r="C10" s="132">
        <f>E10-[1]Switzerland!C10</f>
        <v>-15</v>
      </c>
      <c r="D10" s="31">
        <f>F10-[1]Switzerland!D10</f>
        <v>-49</v>
      </c>
      <c r="E10" s="164">
        <v>211</v>
      </c>
      <c r="F10" s="31">
        <v>379</v>
      </c>
      <c r="G10" s="31">
        <v>399</v>
      </c>
      <c r="H10" s="31">
        <v>593</v>
      </c>
      <c r="I10" s="31">
        <v>302</v>
      </c>
      <c r="J10" s="31">
        <v>400</v>
      </c>
      <c r="K10" s="31">
        <v>173</v>
      </c>
      <c r="L10" s="31">
        <v>619</v>
      </c>
      <c r="M10" s="70">
        <v>1161</v>
      </c>
      <c r="N10" s="70">
        <v>1171</v>
      </c>
      <c r="O10" s="70">
        <v>1686</v>
      </c>
      <c r="P10" s="70">
        <v>1824</v>
      </c>
      <c r="Q10" s="70">
        <v>1186</v>
      </c>
      <c r="R10" s="70">
        <v>2796</v>
      </c>
      <c r="S10" s="70">
        <v>2553</v>
      </c>
      <c r="T10" s="70">
        <v>3344</v>
      </c>
      <c r="U10" s="31">
        <v>2322</v>
      </c>
      <c r="V10" s="32">
        <v>3410</v>
      </c>
    </row>
    <row r="11" spans="1:22">
      <c r="A11" s="50" t="s">
        <v>26</v>
      </c>
      <c r="B11" s="51">
        <f t="shared" si="0"/>
        <v>-0.33288590604026846</v>
      </c>
      <c r="C11" s="132">
        <f>E11-[1]Switzerland!C11</f>
        <v>-233</v>
      </c>
      <c r="D11" s="31">
        <f>F11-[1]Switzerland!D11</f>
        <v>-192</v>
      </c>
      <c r="E11" s="164">
        <v>1491</v>
      </c>
      <c r="F11" s="31">
        <v>2235</v>
      </c>
      <c r="G11" s="31">
        <v>1856</v>
      </c>
      <c r="H11" s="31">
        <v>1434</v>
      </c>
      <c r="I11" s="31">
        <v>2540</v>
      </c>
      <c r="J11" s="31">
        <v>2159</v>
      </c>
      <c r="K11" s="31">
        <v>137</v>
      </c>
      <c r="L11" s="31">
        <v>3109</v>
      </c>
      <c r="M11" s="70">
        <v>2641</v>
      </c>
      <c r="N11" s="70">
        <v>3064</v>
      </c>
      <c r="O11" s="70">
        <v>3138</v>
      </c>
      <c r="P11" s="70">
        <v>3098</v>
      </c>
      <c r="Q11" s="70">
        <v>3502</v>
      </c>
      <c r="R11" s="70">
        <v>2974</v>
      </c>
      <c r="S11" s="70">
        <v>4045</v>
      </c>
      <c r="T11" s="70">
        <v>4188</v>
      </c>
      <c r="U11" s="31">
        <v>4221</v>
      </c>
      <c r="V11" s="32">
        <v>4065</v>
      </c>
    </row>
    <row r="12" spans="1:22">
      <c r="A12" s="50" t="s">
        <v>131</v>
      </c>
      <c r="B12" s="51">
        <f t="shared" si="0"/>
        <v>-0.9152542372881356</v>
      </c>
      <c r="C12" s="132">
        <f>E12-[1]Switzerland!C12</f>
        <v>-18</v>
      </c>
      <c r="D12" s="31">
        <f>F12-[1]Switzerland!D12</f>
        <v>-1</v>
      </c>
      <c r="E12" s="164">
        <v>10</v>
      </c>
      <c r="F12" s="31">
        <v>118</v>
      </c>
      <c r="G12" s="31">
        <v>112</v>
      </c>
      <c r="H12" s="31">
        <v>244</v>
      </c>
      <c r="I12" s="31">
        <v>43</v>
      </c>
      <c r="J12" s="31">
        <v>310</v>
      </c>
      <c r="K12" s="31">
        <v>0</v>
      </c>
      <c r="L12" s="31">
        <v>195</v>
      </c>
      <c r="M12" s="70">
        <v>174</v>
      </c>
      <c r="N12" s="70">
        <v>238</v>
      </c>
      <c r="O12" s="70">
        <v>314</v>
      </c>
      <c r="P12" s="70">
        <v>143</v>
      </c>
      <c r="Q12" s="70">
        <v>190</v>
      </c>
      <c r="R12" s="70">
        <v>190</v>
      </c>
      <c r="S12" s="70">
        <v>151</v>
      </c>
      <c r="T12" s="70">
        <v>234</v>
      </c>
      <c r="U12" s="31">
        <v>153</v>
      </c>
      <c r="V12" s="32">
        <v>222</v>
      </c>
    </row>
    <row r="13" spans="1:22">
      <c r="A13" s="50" t="s">
        <v>132</v>
      </c>
      <c r="B13" s="51">
        <f t="shared" si="0"/>
        <v>-0.83333333333333337</v>
      </c>
      <c r="C13" s="132">
        <f>E13-[1]Switzerland!C13</f>
        <v>3</v>
      </c>
      <c r="D13" s="31">
        <f>F13-[1]Switzerland!D13</f>
        <v>-106</v>
      </c>
      <c r="E13" s="164">
        <v>11</v>
      </c>
      <c r="F13" s="31">
        <v>66</v>
      </c>
      <c r="G13" s="31">
        <v>85</v>
      </c>
      <c r="H13" s="31">
        <v>222</v>
      </c>
      <c r="I13" s="31">
        <v>41</v>
      </c>
      <c r="J13" s="31">
        <v>379</v>
      </c>
      <c r="K13" s="31">
        <v>129</v>
      </c>
      <c r="L13" s="31">
        <v>280</v>
      </c>
      <c r="M13" s="70">
        <v>541</v>
      </c>
      <c r="N13" s="70">
        <v>842</v>
      </c>
      <c r="O13" s="70">
        <v>967</v>
      </c>
      <c r="P13" s="70">
        <v>1602</v>
      </c>
      <c r="Q13" s="70">
        <v>2093</v>
      </c>
      <c r="R13" s="70">
        <v>3560</v>
      </c>
      <c r="S13" s="70">
        <v>4160</v>
      </c>
      <c r="T13" s="70">
        <v>4509</v>
      </c>
      <c r="U13" s="31">
        <v>5626</v>
      </c>
      <c r="V13" s="32">
        <v>7327</v>
      </c>
    </row>
    <row r="14" spans="1:22">
      <c r="A14" s="50" t="s">
        <v>12</v>
      </c>
      <c r="B14" s="51">
        <f t="shared" si="0"/>
        <v>0.10161662817551953</v>
      </c>
      <c r="C14" s="132">
        <f>E14-[1]Switzerland!C14</f>
        <v>-41</v>
      </c>
      <c r="D14" s="31">
        <f>F14-[1]Switzerland!D14</f>
        <v>1</v>
      </c>
      <c r="E14" s="164">
        <v>477</v>
      </c>
      <c r="F14" s="31">
        <v>433</v>
      </c>
      <c r="G14" s="31">
        <v>413</v>
      </c>
      <c r="H14" s="31">
        <v>495</v>
      </c>
      <c r="I14" s="31">
        <v>299</v>
      </c>
      <c r="J14" s="31">
        <v>291</v>
      </c>
      <c r="K14" s="31">
        <v>154</v>
      </c>
      <c r="L14" s="31">
        <v>345</v>
      </c>
      <c r="M14" s="70">
        <v>507</v>
      </c>
      <c r="N14" s="70">
        <v>513</v>
      </c>
      <c r="O14" s="70">
        <v>791</v>
      </c>
      <c r="P14" s="70">
        <v>881</v>
      </c>
      <c r="Q14" s="70">
        <v>991</v>
      </c>
      <c r="R14" s="70">
        <v>979</v>
      </c>
      <c r="S14" s="70">
        <v>1040</v>
      </c>
      <c r="T14" s="70">
        <v>911</v>
      </c>
      <c r="U14" s="31">
        <v>911</v>
      </c>
      <c r="V14" s="32">
        <v>753</v>
      </c>
    </row>
    <row r="15" spans="1:22">
      <c r="A15" s="50" t="s">
        <v>102</v>
      </c>
      <c r="B15" s="51">
        <f t="shared" si="0"/>
        <v>-0.63636363636363635</v>
      </c>
      <c r="C15" s="132">
        <f>E15-[1]Switzerland!C15</f>
        <v>-23</v>
      </c>
      <c r="D15" s="31">
        <f>F15-[1]Switzerland!D15</f>
        <v>-19</v>
      </c>
      <c r="E15" s="164">
        <v>16</v>
      </c>
      <c r="F15" s="31">
        <v>44</v>
      </c>
      <c r="G15" s="31">
        <v>23</v>
      </c>
      <c r="H15" s="31">
        <v>77</v>
      </c>
      <c r="I15" s="31">
        <v>15</v>
      </c>
      <c r="J15" s="31">
        <v>43</v>
      </c>
      <c r="K15" s="31">
        <v>1</v>
      </c>
      <c r="L15" s="31">
        <v>6</v>
      </c>
      <c r="M15" s="70">
        <v>13</v>
      </c>
      <c r="N15" s="70">
        <v>17</v>
      </c>
      <c r="O15" s="70">
        <v>92</v>
      </c>
      <c r="P15" s="70">
        <v>46</v>
      </c>
      <c r="Q15" s="70">
        <v>70</v>
      </c>
      <c r="R15" s="70">
        <v>22</v>
      </c>
      <c r="S15" s="70">
        <v>63</v>
      </c>
      <c r="T15" s="70">
        <v>61</v>
      </c>
      <c r="U15" s="31">
        <v>67</v>
      </c>
      <c r="V15" s="32">
        <v>140</v>
      </c>
    </row>
    <row r="16" spans="1:22">
      <c r="A16" s="50" t="s">
        <v>103</v>
      </c>
      <c r="B16" s="51">
        <f t="shared" si="0"/>
        <v>-0.29108910891089113</v>
      </c>
      <c r="C16" s="132">
        <f>E16-[1]Switzerland!C16</f>
        <v>-156</v>
      </c>
      <c r="D16" s="31">
        <f>F16-[1]Switzerland!D16</f>
        <v>-119</v>
      </c>
      <c r="E16" s="164">
        <v>716</v>
      </c>
      <c r="F16" s="31">
        <v>1010</v>
      </c>
      <c r="G16" s="31">
        <v>587</v>
      </c>
      <c r="H16" s="31">
        <v>558</v>
      </c>
      <c r="I16" s="31">
        <v>465</v>
      </c>
      <c r="J16" s="31">
        <v>1080</v>
      </c>
      <c r="K16" s="31">
        <v>270</v>
      </c>
      <c r="L16" s="31">
        <v>644</v>
      </c>
      <c r="M16" s="70">
        <v>1115</v>
      </c>
      <c r="N16" s="70">
        <v>1197</v>
      </c>
      <c r="O16" s="70">
        <v>1440</v>
      </c>
      <c r="P16" s="70">
        <v>1471</v>
      </c>
      <c r="Q16" s="70">
        <v>1625</v>
      </c>
      <c r="R16" s="70">
        <v>1381</v>
      </c>
      <c r="S16" s="70">
        <v>1496</v>
      </c>
      <c r="T16" s="70">
        <v>1062</v>
      </c>
      <c r="U16" s="31">
        <v>1446</v>
      </c>
      <c r="V16" s="32">
        <v>1193</v>
      </c>
    </row>
    <row r="17" spans="1:24">
      <c r="A17" s="29" t="s">
        <v>98</v>
      </c>
      <c r="B17" s="51">
        <f t="shared" si="0"/>
        <v>-0.1212205270457698</v>
      </c>
      <c r="C17" s="132">
        <f>E17-[1]Switzerland!C17</f>
        <v>-4389</v>
      </c>
      <c r="D17" s="31">
        <f>F17-[1]Switzerland!D17</f>
        <v>-11</v>
      </c>
      <c r="E17" s="164">
        <v>3168</v>
      </c>
      <c r="F17" s="31">
        <v>3605</v>
      </c>
      <c r="G17" s="31">
        <v>3147</v>
      </c>
      <c r="H17" s="31">
        <v>3850</v>
      </c>
      <c r="I17" s="31">
        <v>11893</v>
      </c>
      <c r="J17" s="31">
        <v>13656</v>
      </c>
      <c r="K17" s="31">
        <v>8485</v>
      </c>
      <c r="L17" s="31">
        <v>12625</v>
      </c>
      <c r="M17" s="70">
        <v>9526</v>
      </c>
      <c r="N17" s="70">
        <v>10202</v>
      </c>
      <c r="O17" s="70">
        <v>11343</v>
      </c>
      <c r="P17" s="70">
        <v>8411</v>
      </c>
      <c r="Q17" s="70">
        <v>9670</v>
      </c>
      <c r="R17" s="70">
        <v>5528</v>
      </c>
      <c r="S17" s="70">
        <f>526+386+3898</f>
        <v>4810</v>
      </c>
      <c r="T17" s="70">
        <v>2045</v>
      </c>
      <c r="U17" s="31">
        <v>1682</v>
      </c>
      <c r="V17" s="32">
        <v>782</v>
      </c>
    </row>
    <row r="18" spans="1:24" ht="13.8" thickBot="1">
      <c r="A18" s="72" t="s">
        <v>58</v>
      </c>
      <c r="B18" s="53">
        <f t="shared" si="0"/>
        <v>-8.1789638932496023E-2</v>
      </c>
      <c r="C18" s="134">
        <f>E18-[1]Switzerland!C18</f>
        <v>7640</v>
      </c>
      <c r="D18" s="35">
        <f>F18-[1]Switzerland!D18</f>
        <v>1434</v>
      </c>
      <c r="E18" s="166">
        <v>11698</v>
      </c>
      <c r="F18" s="35">
        <v>12740</v>
      </c>
      <c r="G18" s="35">
        <v>13032</v>
      </c>
      <c r="H18" s="35">
        <v>12736</v>
      </c>
      <c r="I18" s="35">
        <v>2992</v>
      </c>
      <c r="J18" s="35">
        <v>4618</v>
      </c>
      <c r="K18" s="35">
        <v>1762</v>
      </c>
      <c r="L18" s="35">
        <v>3300</v>
      </c>
      <c r="M18" s="73">
        <v>3830</v>
      </c>
      <c r="N18" s="73">
        <v>4020</v>
      </c>
      <c r="O18" s="73">
        <v>1235</v>
      </c>
      <c r="P18" s="73">
        <v>802</v>
      </c>
      <c r="Q18" s="73">
        <v>737</v>
      </c>
      <c r="R18" s="73">
        <v>606</v>
      </c>
      <c r="S18" s="73">
        <v>842</v>
      </c>
      <c r="T18" s="73">
        <v>768</v>
      </c>
      <c r="U18" s="35">
        <v>713</v>
      </c>
      <c r="V18" s="36">
        <v>779</v>
      </c>
      <c r="X18" s="31"/>
    </row>
    <row r="19" spans="1:24" ht="13.8" thickBot="1">
      <c r="A19" s="74" t="s">
        <v>22</v>
      </c>
      <c r="B19" s="54">
        <f t="shared" si="0"/>
        <v>-6.5260566270004094E-2</v>
      </c>
      <c r="C19" s="135">
        <f>E19-[1]Switzerland!C19</f>
        <v>-554</v>
      </c>
      <c r="D19" s="55">
        <f>F19-[1]Switzerland!D19</f>
        <v>-3502</v>
      </c>
      <c r="E19" s="167">
        <f>SUM(E2:E18)</f>
        <v>56949</v>
      </c>
      <c r="F19" s="55">
        <f>SUM(F2:F18)</f>
        <v>60925</v>
      </c>
      <c r="G19" s="55">
        <f>SUM(G2:G18)</f>
        <v>63888</v>
      </c>
      <c r="H19" s="55">
        <f>SUM(H2:H18)</f>
        <v>64111</v>
      </c>
      <c r="I19" s="55">
        <f>SUM(I2:I18)</f>
        <v>61830</v>
      </c>
      <c r="J19" s="55">
        <v>68488</v>
      </c>
      <c r="K19" s="55">
        <v>41382</v>
      </c>
      <c r="L19" s="55">
        <f>SUM(L2:L18)</f>
        <v>63693</v>
      </c>
      <c r="M19" s="55">
        <f>SUM(M2:M18)</f>
        <v>62756</v>
      </c>
      <c r="N19" s="55">
        <f t="shared" ref="N19:V19" si="1">SUM(N2:N18)</f>
        <v>63323</v>
      </c>
      <c r="O19" s="55">
        <f t="shared" si="1"/>
        <v>64590</v>
      </c>
      <c r="P19" s="55">
        <f t="shared" si="1"/>
        <v>62096</v>
      </c>
      <c r="Q19" s="55">
        <f t="shared" si="1"/>
        <v>68136</v>
      </c>
      <c r="R19" s="55">
        <f t="shared" si="1"/>
        <v>63359</v>
      </c>
      <c r="S19" s="55">
        <f t="shared" si="1"/>
        <v>67200</v>
      </c>
      <c r="T19" s="55">
        <f t="shared" si="1"/>
        <v>59479</v>
      </c>
      <c r="U19" s="55">
        <f t="shared" si="1"/>
        <v>62992</v>
      </c>
      <c r="V19" s="56">
        <f t="shared" si="1"/>
        <v>60711</v>
      </c>
    </row>
    <row r="20" spans="1:24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24" ht="13.8" thickBo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24" ht="13.8" thickBot="1">
      <c r="A22" s="27" t="s">
        <v>24</v>
      </c>
      <c r="B22" s="12" t="s">
        <v>184</v>
      </c>
      <c r="C22" s="117" t="s">
        <v>185</v>
      </c>
      <c r="D22" s="42" t="s">
        <v>179</v>
      </c>
      <c r="E22" s="156">
        <v>45261</v>
      </c>
      <c r="F22" s="13">
        <v>44896</v>
      </c>
      <c r="G22" s="13">
        <v>44531</v>
      </c>
      <c r="H22" s="13">
        <v>44166</v>
      </c>
      <c r="I22" s="13">
        <v>43800</v>
      </c>
      <c r="J22" s="13">
        <v>43435</v>
      </c>
      <c r="K22" s="13">
        <v>43070</v>
      </c>
      <c r="L22" s="13">
        <v>42705</v>
      </c>
      <c r="M22" s="28">
        <f>M1</f>
        <v>42339</v>
      </c>
      <c r="N22" s="28">
        <f>N1</f>
        <v>41974</v>
      </c>
      <c r="O22" s="28">
        <v>41609</v>
      </c>
      <c r="P22" s="28">
        <v>41244</v>
      </c>
      <c r="Q22" s="28">
        <v>40878</v>
      </c>
      <c r="R22" s="28">
        <v>40513</v>
      </c>
      <c r="S22" s="28">
        <v>40148</v>
      </c>
      <c r="T22" s="28">
        <v>39783</v>
      </c>
      <c r="U22" s="28">
        <v>39417</v>
      </c>
      <c r="V22" s="44">
        <v>39052</v>
      </c>
    </row>
    <row r="23" spans="1:24">
      <c r="A23" s="50" t="s">
        <v>133</v>
      </c>
      <c r="B23" s="51">
        <f t="shared" ref="B23:B28" si="2">IFERROR((E23/F23-1), "")</f>
        <v>-0.10425183973834828</v>
      </c>
      <c r="C23" s="132">
        <f>E23-[1]Switzerland!C23</f>
        <v>-844</v>
      </c>
      <c r="D23" s="31">
        <f>F23-[1]Switzerland!D23</f>
        <v>-826</v>
      </c>
      <c r="E23" s="164">
        <v>4382</v>
      </c>
      <c r="F23" s="31">
        <v>4892</v>
      </c>
      <c r="G23" s="31">
        <v>4651</v>
      </c>
      <c r="H23" s="31">
        <v>5891</v>
      </c>
      <c r="I23" s="31">
        <v>6624</v>
      </c>
      <c r="J23" s="31">
        <v>5673</v>
      </c>
      <c r="K23" s="31">
        <v>954</v>
      </c>
      <c r="L23" s="31">
        <v>3117</v>
      </c>
      <c r="M23" s="31">
        <v>3862</v>
      </c>
      <c r="N23" s="31">
        <v>5054</v>
      </c>
      <c r="O23" s="31">
        <v>3929</v>
      </c>
      <c r="P23" s="31">
        <v>2772</v>
      </c>
      <c r="Q23" s="31">
        <v>5180</v>
      </c>
      <c r="R23" s="31">
        <v>2873</v>
      </c>
      <c r="S23" s="31">
        <v>4994</v>
      </c>
      <c r="T23" s="31">
        <v>1602</v>
      </c>
      <c r="U23" s="31">
        <v>4783</v>
      </c>
      <c r="V23" s="32">
        <v>3137</v>
      </c>
    </row>
    <row r="24" spans="1:24">
      <c r="A24" s="50" t="s">
        <v>6</v>
      </c>
      <c r="B24" s="51">
        <f t="shared" si="2"/>
        <v>-0.6791553133514987</v>
      </c>
      <c r="C24" s="132">
        <f>E24-[1]Switzerland!C24</f>
        <v>-706</v>
      </c>
      <c r="D24" s="31">
        <f>F24-[1]Switzerland!D24</f>
        <v>-394</v>
      </c>
      <c r="E24" s="164">
        <v>471</v>
      </c>
      <c r="F24" s="31">
        <v>1468</v>
      </c>
      <c r="G24" s="31">
        <v>837</v>
      </c>
      <c r="H24" s="31">
        <v>1429</v>
      </c>
      <c r="I24" s="31">
        <v>1992</v>
      </c>
      <c r="J24" s="31">
        <v>1457</v>
      </c>
      <c r="K24" s="31">
        <v>456</v>
      </c>
      <c r="L24" s="31">
        <v>1643</v>
      </c>
      <c r="M24" s="31">
        <v>1153</v>
      </c>
      <c r="N24" s="31">
        <v>1669</v>
      </c>
      <c r="O24" s="31">
        <v>1369</v>
      </c>
      <c r="P24" s="31">
        <v>924</v>
      </c>
      <c r="Q24" s="31">
        <v>2699</v>
      </c>
      <c r="R24" s="31">
        <v>750</v>
      </c>
      <c r="S24" s="31">
        <v>2531</v>
      </c>
      <c r="T24" s="31">
        <v>869</v>
      </c>
      <c r="U24" s="31">
        <v>2830</v>
      </c>
      <c r="V24" s="32">
        <v>1219</v>
      </c>
    </row>
    <row r="25" spans="1:24">
      <c r="A25" s="50" t="s">
        <v>134</v>
      </c>
      <c r="B25" s="51">
        <f t="shared" si="2"/>
        <v>-0.67675159235668791</v>
      </c>
      <c r="C25" s="132">
        <f>E25-[1]Switzerland!C25</f>
        <v>-440</v>
      </c>
      <c r="D25" s="31">
        <f>F25-[1]Switzerland!D25</f>
        <v>-385</v>
      </c>
      <c r="E25" s="164">
        <v>406</v>
      </c>
      <c r="F25" s="31">
        <v>1256</v>
      </c>
      <c r="G25" s="31">
        <v>860</v>
      </c>
      <c r="H25" s="31">
        <v>1594</v>
      </c>
      <c r="I25" s="31">
        <v>1369</v>
      </c>
      <c r="J25" s="31">
        <v>1674</v>
      </c>
      <c r="K25" s="31">
        <v>561</v>
      </c>
      <c r="L25" s="31">
        <v>1838</v>
      </c>
      <c r="M25" s="31">
        <v>1952</v>
      </c>
      <c r="N25" s="31">
        <v>1925</v>
      </c>
      <c r="O25" s="31">
        <v>1841</v>
      </c>
      <c r="P25" s="31">
        <v>1571</v>
      </c>
      <c r="Q25" s="31">
        <v>2757</v>
      </c>
      <c r="R25" s="31">
        <v>1087</v>
      </c>
      <c r="S25" s="31">
        <v>3370</v>
      </c>
      <c r="T25" s="31">
        <v>641</v>
      </c>
      <c r="U25" s="31">
        <v>3212</v>
      </c>
      <c r="V25" s="32">
        <v>1448</v>
      </c>
    </row>
    <row r="26" spans="1:24">
      <c r="A26" s="50" t="s">
        <v>160</v>
      </c>
      <c r="B26" s="51">
        <f t="shared" si="2"/>
        <v>-1</v>
      </c>
      <c r="C26" s="132">
        <f>E26-[1]Switzerland!C26</f>
        <v>-4</v>
      </c>
      <c r="D26" s="31">
        <f>F26-[1]Switzerland!D26</f>
        <v>-171</v>
      </c>
      <c r="E26" s="164">
        <v>0</v>
      </c>
      <c r="F26" s="31">
        <v>63</v>
      </c>
      <c r="G26" s="31">
        <v>0</v>
      </c>
      <c r="H26" s="31">
        <v>289</v>
      </c>
      <c r="I26" s="31">
        <v>315</v>
      </c>
      <c r="J26" s="31"/>
      <c r="K26" s="31">
        <v>0</v>
      </c>
      <c r="L26" s="31">
        <v>0</v>
      </c>
      <c r="M26" s="31">
        <v>60</v>
      </c>
      <c r="N26" s="31"/>
      <c r="O26" s="31"/>
      <c r="P26" s="31"/>
      <c r="Q26" s="31"/>
      <c r="R26" s="31"/>
      <c r="S26" s="31"/>
      <c r="T26" s="31"/>
      <c r="U26" s="31"/>
      <c r="V26" s="32"/>
    </row>
    <row r="27" spans="1:24" ht="13.8" thickBot="1">
      <c r="A27" s="52" t="s">
        <v>58</v>
      </c>
      <c r="B27" s="53">
        <f t="shared" si="2"/>
        <v>-0.25103734439834025</v>
      </c>
      <c r="C27" s="134">
        <f>E27-[1]Switzerland!C27</f>
        <v>-143</v>
      </c>
      <c r="D27" s="35">
        <f>F27-[1]Switzerland!D27</f>
        <v>-101</v>
      </c>
      <c r="E27" s="166">
        <v>722</v>
      </c>
      <c r="F27" s="35">
        <v>964</v>
      </c>
      <c r="G27" s="35">
        <v>583</v>
      </c>
      <c r="H27" s="35">
        <v>813</v>
      </c>
      <c r="I27" s="35">
        <v>587</v>
      </c>
      <c r="J27" s="35">
        <v>678</v>
      </c>
      <c r="K27" s="35">
        <v>157</v>
      </c>
      <c r="L27" s="35">
        <v>343</v>
      </c>
      <c r="M27" s="35">
        <v>395</v>
      </c>
      <c r="N27" s="35">
        <v>612</v>
      </c>
      <c r="O27" s="35">
        <v>457</v>
      </c>
      <c r="P27" s="35">
        <v>237</v>
      </c>
      <c r="Q27" s="35">
        <v>489</v>
      </c>
      <c r="R27" s="35">
        <v>244</v>
      </c>
      <c r="S27" s="35">
        <v>474</v>
      </c>
      <c r="T27" s="35">
        <v>193</v>
      </c>
      <c r="U27" s="35">
        <v>602</v>
      </c>
      <c r="V27" s="36">
        <v>313</v>
      </c>
    </row>
    <row r="28" spans="1:24" ht="13.8" thickBot="1">
      <c r="A28" s="37" t="s">
        <v>22</v>
      </c>
      <c r="B28" s="54">
        <f t="shared" si="2"/>
        <v>-0.30799490917505501</v>
      </c>
      <c r="C28" s="135">
        <f>E28-[1]Switzerland!C28</f>
        <v>-2137</v>
      </c>
      <c r="D28" s="55">
        <f>F28-[1]Switzerland!D28</f>
        <v>-1877</v>
      </c>
      <c r="E28" s="167">
        <f>SUM(E23:E27)</f>
        <v>5981</v>
      </c>
      <c r="F28" s="55">
        <f>SUM(F23:F27)</f>
        <v>8643</v>
      </c>
      <c r="G28" s="55">
        <f>SUM(G23:G27)</f>
        <v>6931</v>
      </c>
      <c r="H28" s="55">
        <f>SUM(H23:H27)</f>
        <v>10016</v>
      </c>
      <c r="I28" s="55">
        <f>SUM(I23:I27)</f>
        <v>10887</v>
      </c>
      <c r="J28" s="55">
        <v>9874</v>
      </c>
      <c r="K28" s="55">
        <v>2128</v>
      </c>
      <c r="L28" s="55">
        <f>SUM(L23:L27)</f>
        <v>6941</v>
      </c>
      <c r="M28" s="55">
        <f>SUM(M23:M27)</f>
        <v>7422</v>
      </c>
      <c r="N28" s="55">
        <f>SUM(N23:N27)</f>
        <v>9260</v>
      </c>
      <c r="O28" s="55">
        <f>SUM(O23:O27)</f>
        <v>7596</v>
      </c>
      <c r="P28" s="55">
        <f>SUM(P23:P27)</f>
        <v>5504</v>
      </c>
      <c r="Q28" s="55">
        <f t="shared" ref="Q28:V28" si="3">SUM(Q23:Q27)</f>
        <v>11125</v>
      </c>
      <c r="R28" s="55">
        <f t="shared" si="3"/>
        <v>4954</v>
      </c>
      <c r="S28" s="55">
        <f t="shared" si="3"/>
        <v>11369</v>
      </c>
      <c r="T28" s="55">
        <f t="shared" si="3"/>
        <v>3305</v>
      </c>
      <c r="U28" s="55">
        <f t="shared" si="3"/>
        <v>11427</v>
      </c>
      <c r="V28" s="56">
        <f t="shared" si="3"/>
        <v>6117</v>
      </c>
    </row>
    <row r="29" spans="1:24">
      <c r="A29" t="s">
        <v>161</v>
      </c>
    </row>
    <row r="35" spans="21:23" ht="17.399999999999999">
      <c r="U35" s="75"/>
      <c r="V35" s="31"/>
      <c r="W35" s="31"/>
    </row>
    <row r="36" spans="21:23" ht="17.399999999999999">
      <c r="U36" s="75"/>
      <c r="V36" s="31"/>
      <c r="W36" s="31"/>
    </row>
    <row r="37" spans="21:23" ht="17.399999999999999">
      <c r="U37" s="75"/>
      <c r="V37" s="31"/>
      <c r="W37" s="31"/>
    </row>
    <row r="38" spans="21:23" ht="17.399999999999999">
      <c r="U38" s="75"/>
      <c r="V38" s="31"/>
      <c r="W38" s="31"/>
    </row>
    <row r="39" spans="21:23" ht="17.399999999999999">
      <c r="U39" s="75"/>
      <c r="V39" s="31"/>
      <c r="W39" s="31"/>
    </row>
    <row r="40" spans="21:23" ht="17.399999999999999">
      <c r="U40" s="75"/>
      <c r="V40" s="31"/>
      <c r="W40" s="31"/>
    </row>
    <row r="41" spans="21:23" ht="17.399999999999999">
      <c r="U41" s="75"/>
      <c r="V41" s="31"/>
      <c r="W41" s="31"/>
    </row>
    <row r="42" spans="21:23" ht="17.399999999999999">
      <c r="U42" s="75"/>
      <c r="V42" s="31"/>
      <c r="W42" s="31"/>
    </row>
    <row r="43" spans="21:23" ht="17.399999999999999">
      <c r="U43" s="75"/>
      <c r="V43" s="31"/>
      <c r="W43" s="31"/>
    </row>
    <row r="44" spans="21:23" ht="17.399999999999999">
      <c r="U44" s="75"/>
      <c r="V44" s="31"/>
      <c r="W44" s="31"/>
    </row>
    <row r="45" spans="21:23" ht="17.399999999999999">
      <c r="U45" s="76"/>
      <c r="V45" s="31"/>
      <c r="W45" s="31"/>
    </row>
    <row r="46" spans="21:23" ht="18">
      <c r="U46" s="77"/>
      <c r="V46" s="66"/>
      <c r="W46" s="66"/>
    </row>
  </sheetData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33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33203125" style="26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50" t="s">
        <v>3</v>
      </c>
      <c r="B2" s="51">
        <f t="shared" ref="B2:B8" si="0">IFERROR((E2/F2-1), "")</f>
        <v>-0.24735304855786788</v>
      </c>
      <c r="C2" s="132">
        <f>E2-[1]Netherlands!C2</f>
        <v>-1287</v>
      </c>
      <c r="D2" s="31">
        <f>F2-[1]Netherlands!D2</f>
        <v>-1723</v>
      </c>
      <c r="E2" s="164">
        <v>4123</v>
      </c>
      <c r="F2" s="31">
        <v>5478</v>
      </c>
      <c r="G2" s="31">
        <v>7096</v>
      </c>
      <c r="H2" s="31">
        <v>6000</v>
      </c>
      <c r="I2" s="31">
        <v>7000</v>
      </c>
      <c r="J2" s="31">
        <v>7770.1909999999998</v>
      </c>
      <c r="K2" s="31">
        <v>4588</v>
      </c>
      <c r="L2" s="31">
        <v>8272</v>
      </c>
      <c r="M2" s="31">
        <v>10722</v>
      </c>
      <c r="N2" s="31">
        <v>9996</v>
      </c>
      <c r="O2" s="31">
        <v>11148</v>
      </c>
      <c r="P2" s="31">
        <v>9000</v>
      </c>
      <c r="Q2" s="31">
        <v>11000</v>
      </c>
      <c r="R2" s="31">
        <v>10000</v>
      </c>
      <c r="S2" s="31">
        <v>13000</v>
      </c>
      <c r="T2" s="31">
        <v>15000</v>
      </c>
      <c r="U2" s="31">
        <v>11000</v>
      </c>
      <c r="V2" s="32">
        <v>15000</v>
      </c>
    </row>
    <row r="3" spans="1:22">
      <c r="A3" s="50" t="s">
        <v>1</v>
      </c>
      <c r="B3" s="51">
        <f t="shared" si="0"/>
        <v>-0.23193104796663189</v>
      </c>
      <c r="C3" s="132">
        <f>E3-[1]Netherlands!C3</f>
        <v>-5600</v>
      </c>
      <c r="D3" s="31">
        <f>F3-[1]Netherlands!D3</f>
        <v>-7468</v>
      </c>
      <c r="E3" s="164">
        <v>47141</v>
      </c>
      <c r="F3" s="31">
        <v>61376</v>
      </c>
      <c r="G3" s="31">
        <v>57008</v>
      </c>
      <c r="H3" s="31">
        <v>43897</v>
      </c>
      <c r="I3" s="31">
        <v>67799</v>
      </c>
      <c r="J3" s="31">
        <v>66469.138000000006</v>
      </c>
      <c r="K3" s="31">
        <v>56847</v>
      </c>
      <c r="L3" s="31">
        <v>84035</v>
      </c>
      <c r="M3" s="31">
        <v>91050</v>
      </c>
      <c r="N3" s="31">
        <v>87581</v>
      </c>
      <c r="O3" s="31">
        <v>83273</v>
      </c>
      <c r="P3" s="31">
        <v>66000</v>
      </c>
      <c r="Q3" s="31">
        <v>95000</v>
      </c>
      <c r="R3" s="31">
        <v>74000</v>
      </c>
      <c r="S3" s="31">
        <v>113000</v>
      </c>
      <c r="T3" s="31">
        <v>93000</v>
      </c>
      <c r="U3" s="31">
        <v>90000</v>
      </c>
      <c r="V3" s="32">
        <v>70000</v>
      </c>
    </row>
    <row r="4" spans="1:22">
      <c r="A4" s="50" t="s">
        <v>2</v>
      </c>
      <c r="B4" s="51">
        <f t="shared" si="0"/>
        <v>-0.23949889462048635</v>
      </c>
      <c r="C4" s="132">
        <f>E4-[1]Netherlands!C4</f>
        <v>-997</v>
      </c>
      <c r="D4" s="31">
        <f>F4-[1]Netherlands!D4</f>
        <v>-982</v>
      </c>
      <c r="E4" s="164">
        <v>3096</v>
      </c>
      <c r="F4" s="31">
        <v>4071</v>
      </c>
      <c r="G4" s="31">
        <v>4489</v>
      </c>
      <c r="H4" s="31">
        <v>5000</v>
      </c>
      <c r="I4" s="31">
        <v>7000</v>
      </c>
      <c r="J4" s="31">
        <v>8206.3580000000002</v>
      </c>
      <c r="K4" s="31">
        <v>8679</v>
      </c>
      <c r="L4" s="31">
        <v>10134</v>
      </c>
      <c r="M4" s="31">
        <v>15414</v>
      </c>
      <c r="N4" s="31">
        <v>16882</v>
      </c>
      <c r="O4" s="31">
        <v>21541</v>
      </c>
      <c r="P4" s="31">
        <v>19000</v>
      </c>
      <c r="Q4" s="31">
        <v>18000</v>
      </c>
      <c r="R4" s="31">
        <v>15000</v>
      </c>
      <c r="S4" s="31">
        <v>15000</v>
      </c>
      <c r="T4" s="31">
        <v>19000</v>
      </c>
      <c r="U4" s="31">
        <v>19000</v>
      </c>
      <c r="V4" s="32">
        <v>20000</v>
      </c>
    </row>
    <row r="5" spans="1:22">
      <c r="A5" s="50" t="s">
        <v>135</v>
      </c>
      <c r="B5" s="51">
        <f t="shared" si="0"/>
        <v>-0.19220890410958902</v>
      </c>
      <c r="C5" s="132">
        <f>E5-[1]Netherlands!C5</f>
        <v>-2041</v>
      </c>
      <c r="D5" s="31">
        <f>F5-[1]Netherlands!D5</f>
        <v>-2021</v>
      </c>
      <c r="E5" s="164">
        <v>33966</v>
      </c>
      <c r="F5" s="31">
        <v>42048</v>
      </c>
      <c r="G5" s="31">
        <v>43355</v>
      </c>
      <c r="H5" s="31">
        <v>46000</v>
      </c>
      <c r="I5" s="31">
        <v>54000</v>
      </c>
      <c r="J5" s="31">
        <v>55004.012000000002</v>
      </c>
      <c r="K5" s="31">
        <v>46074</v>
      </c>
      <c r="L5" s="31">
        <v>71156</v>
      </c>
      <c r="M5" s="70">
        <v>67683</v>
      </c>
      <c r="N5" s="70">
        <v>73748</v>
      </c>
      <c r="O5" s="70">
        <v>76323</v>
      </c>
      <c r="P5" s="70">
        <v>69000</v>
      </c>
      <c r="Q5" s="70">
        <v>110000</v>
      </c>
      <c r="R5" s="70">
        <v>70000</v>
      </c>
      <c r="S5" s="70">
        <v>103000</v>
      </c>
      <c r="T5" s="70">
        <v>98000</v>
      </c>
      <c r="U5" s="31">
        <v>106000</v>
      </c>
      <c r="V5" s="32">
        <v>95000</v>
      </c>
    </row>
    <row r="6" spans="1:22">
      <c r="A6" s="50" t="s">
        <v>166</v>
      </c>
      <c r="B6" s="51">
        <f t="shared" si="0"/>
        <v>-0.20601605571138404</v>
      </c>
      <c r="C6" s="132">
        <f>E6-[1]Netherlands!C6</f>
        <v>-3334</v>
      </c>
      <c r="D6" s="31">
        <f>F6-[1]Netherlands!D6</f>
        <v>-3274</v>
      </c>
      <c r="E6" s="164">
        <v>24627</v>
      </c>
      <c r="F6" s="31">
        <v>31017</v>
      </c>
      <c r="G6" s="31">
        <v>35456</v>
      </c>
      <c r="H6" s="31">
        <v>35000</v>
      </c>
      <c r="I6" s="31">
        <v>33000</v>
      </c>
      <c r="J6" s="31">
        <v>33281.758999999998</v>
      </c>
      <c r="K6" s="31">
        <v>21323</v>
      </c>
      <c r="L6" s="31">
        <v>28989</v>
      </c>
      <c r="M6" s="70">
        <v>27534</v>
      </c>
      <c r="N6" s="70">
        <v>27400</v>
      </c>
      <c r="O6" s="70">
        <v>24760</v>
      </c>
      <c r="P6" s="70"/>
      <c r="Q6" s="70"/>
      <c r="R6" s="70"/>
      <c r="S6" s="70"/>
      <c r="T6" s="70"/>
      <c r="U6" s="31"/>
      <c r="V6" s="32"/>
    </row>
    <row r="7" spans="1:22" ht="13.8" thickBot="1">
      <c r="A7" s="52" t="s">
        <v>58</v>
      </c>
      <c r="B7" s="53">
        <f t="shared" si="0"/>
        <v>-0.16138917262512764</v>
      </c>
      <c r="C7" s="134">
        <f>E7-[1]Netherlands!C7</f>
        <v>-719</v>
      </c>
      <c r="D7" s="35">
        <f>F7-[1]Netherlands!D7</f>
        <v>-739</v>
      </c>
      <c r="E7" s="166">
        <v>4105</v>
      </c>
      <c r="F7" s="35">
        <v>4895</v>
      </c>
      <c r="G7" s="35">
        <v>6250</v>
      </c>
      <c r="H7" s="35">
        <v>10000</v>
      </c>
      <c r="I7" s="35">
        <v>9000</v>
      </c>
      <c r="J7" s="35">
        <v>9995.7579999999998</v>
      </c>
      <c r="K7" s="35">
        <v>8154</v>
      </c>
      <c r="L7" s="35">
        <v>8993</v>
      </c>
      <c r="M7" s="73">
        <v>7892</v>
      </c>
      <c r="N7" s="73">
        <v>8902</v>
      </c>
      <c r="O7" s="73">
        <v>7871</v>
      </c>
      <c r="P7" s="73">
        <v>33000</v>
      </c>
      <c r="Q7" s="73">
        <v>35000</v>
      </c>
      <c r="R7" s="73">
        <v>33000</v>
      </c>
      <c r="S7" s="73">
        <v>24000</v>
      </c>
      <c r="T7" s="73">
        <v>12000</v>
      </c>
      <c r="U7" s="35">
        <v>11000</v>
      </c>
      <c r="V7" s="36">
        <v>15000</v>
      </c>
    </row>
    <row r="8" spans="1:22" ht="13.8" thickBot="1">
      <c r="A8" s="74" t="s">
        <v>22</v>
      </c>
      <c r="B8" s="54">
        <f t="shared" si="0"/>
        <v>-0.21376901635490475</v>
      </c>
      <c r="C8" s="135">
        <f>E8-[1]Netherlands!C8</f>
        <v>-13978</v>
      </c>
      <c r="D8" s="55">
        <f>F8-[1]Netherlands!D8</f>
        <v>-16207</v>
      </c>
      <c r="E8" s="167">
        <f>SUM(E2:E7)</f>
        <v>117058</v>
      </c>
      <c r="F8" s="55">
        <f>SUM(F2:F7)</f>
        <v>148885</v>
      </c>
      <c r="G8" s="55">
        <f>SUM(G2:G7)</f>
        <v>153654</v>
      </c>
      <c r="H8" s="55">
        <f>SUM(H2:H7)</f>
        <v>145897</v>
      </c>
      <c r="I8" s="55">
        <f>SUM(I2:I7)</f>
        <v>177799</v>
      </c>
      <c r="J8" s="55">
        <v>180727.21600000001</v>
      </c>
      <c r="K8" s="55">
        <v>145665</v>
      </c>
      <c r="L8" s="55">
        <f>SUM(L2:L7)</f>
        <v>211579</v>
      </c>
      <c r="M8" s="55">
        <f>SUM(M2:M7)</f>
        <v>220295</v>
      </c>
      <c r="N8" s="55">
        <f>SUM(N2:N7)</f>
        <v>224509</v>
      </c>
      <c r="O8" s="55">
        <f>SUM(O2:O7)</f>
        <v>224916</v>
      </c>
      <c r="P8" s="55">
        <f>SUM(P2:P7)</f>
        <v>196000</v>
      </c>
      <c r="Q8" s="55">
        <f t="shared" ref="Q8:V8" si="1">SUM(Q2:Q7)</f>
        <v>269000</v>
      </c>
      <c r="R8" s="55">
        <f t="shared" si="1"/>
        <v>202000</v>
      </c>
      <c r="S8" s="55">
        <f t="shared" si="1"/>
        <v>268000</v>
      </c>
      <c r="T8" s="55">
        <f t="shared" si="1"/>
        <v>237000</v>
      </c>
      <c r="U8" s="55">
        <f t="shared" si="1"/>
        <v>237000</v>
      </c>
      <c r="V8" s="56">
        <f t="shared" si="1"/>
        <v>215000</v>
      </c>
    </row>
    <row r="9" spans="1:2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22" ht="13.8" thickBot="1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22" ht="13.8" thickBot="1">
      <c r="A11" s="27" t="s">
        <v>24</v>
      </c>
      <c r="B11" s="12" t="s">
        <v>184</v>
      </c>
      <c r="C11" s="117" t="s">
        <v>185</v>
      </c>
      <c r="D11" s="42" t="s">
        <v>179</v>
      </c>
      <c r="E11" s="156">
        <v>45261</v>
      </c>
      <c r="F11" s="13">
        <v>44896</v>
      </c>
      <c r="G11" s="13">
        <v>44531</v>
      </c>
      <c r="H11" s="13">
        <v>44166</v>
      </c>
      <c r="I11" s="13">
        <v>43800</v>
      </c>
      <c r="J11" s="13">
        <v>43435</v>
      </c>
      <c r="K11" s="13">
        <v>43070</v>
      </c>
      <c r="L11" s="13">
        <v>42705</v>
      </c>
      <c r="M11" s="28">
        <f>M1</f>
        <v>42339</v>
      </c>
      <c r="N11" s="28">
        <f>N1</f>
        <v>41974</v>
      </c>
      <c r="O11" s="28">
        <v>41609</v>
      </c>
      <c r="P11" s="28">
        <v>41244</v>
      </c>
      <c r="Q11" s="28">
        <v>40878</v>
      </c>
      <c r="R11" s="28">
        <v>40513</v>
      </c>
      <c r="S11" s="28">
        <v>40148</v>
      </c>
      <c r="T11" s="28">
        <v>39783</v>
      </c>
      <c r="U11" s="28">
        <v>39417</v>
      </c>
      <c r="V11" s="44">
        <v>39052</v>
      </c>
    </row>
    <row r="12" spans="1:22">
      <c r="A12" s="50" t="s">
        <v>6</v>
      </c>
      <c r="B12" s="51">
        <f>IFERROR((E12/F12-1), "")</f>
        <v>2.454054535645156E-2</v>
      </c>
      <c r="C12" s="132">
        <f>E12-[1]Netherlands!C12</f>
        <v>-20933</v>
      </c>
      <c r="D12" s="31">
        <f>F12-[1]Netherlands!D12</f>
        <v>-20899</v>
      </c>
      <c r="E12" s="164">
        <v>206991</v>
      </c>
      <c r="F12" s="31">
        <v>202033</v>
      </c>
      <c r="G12" s="31">
        <v>191837</v>
      </c>
      <c r="H12" s="31">
        <v>218000</v>
      </c>
      <c r="I12" s="31">
        <v>194000</v>
      </c>
      <c r="J12" s="31">
        <v>214147.405</v>
      </c>
      <c r="K12" s="31">
        <v>186497</v>
      </c>
      <c r="L12" s="31">
        <v>196772</v>
      </c>
      <c r="M12" s="31">
        <v>191959</v>
      </c>
      <c r="N12" s="31">
        <v>184515</v>
      </c>
      <c r="O12" s="31">
        <v>187873</v>
      </c>
      <c r="P12" s="31">
        <v>105000</v>
      </c>
      <c r="Q12" s="31">
        <v>165000</v>
      </c>
      <c r="R12" s="31">
        <v>130000</v>
      </c>
      <c r="S12" s="31">
        <v>150000</v>
      </c>
      <c r="T12" s="31">
        <v>73000</v>
      </c>
      <c r="U12" s="31">
        <v>110000</v>
      </c>
      <c r="V12" s="32">
        <v>105000</v>
      </c>
    </row>
    <row r="13" spans="1:22">
      <c r="A13" s="50" t="s">
        <v>106</v>
      </c>
      <c r="B13" s="51">
        <f>IFERROR((E13/F13-1), "")</f>
        <v>6.9583552978387031E-2</v>
      </c>
      <c r="C13" s="132">
        <f>E13-[1]Netherlands!C13</f>
        <v>-2618</v>
      </c>
      <c r="D13" s="31">
        <f>F13-[1]Netherlands!D13</f>
        <v>-3226</v>
      </c>
      <c r="E13" s="164">
        <v>8116</v>
      </c>
      <c r="F13" s="31">
        <v>7588</v>
      </c>
      <c r="G13" s="31">
        <v>7133</v>
      </c>
      <c r="H13" s="31">
        <v>14000</v>
      </c>
      <c r="I13" s="31">
        <v>12000</v>
      </c>
      <c r="J13" s="31">
        <v>14250.130999999999</v>
      </c>
      <c r="K13" s="31">
        <v>7236</v>
      </c>
      <c r="L13" s="31">
        <v>15383</v>
      </c>
      <c r="M13" s="31">
        <v>13319</v>
      </c>
      <c r="N13" s="31">
        <v>15042</v>
      </c>
      <c r="O13" s="31">
        <v>15752</v>
      </c>
      <c r="P13" s="31">
        <v>6000</v>
      </c>
      <c r="Q13" s="31">
        <v>13000</v>
      </c>
      <c r="R13" s="31">
        <v>11000</v>
      </c>
      <c r="S13" s="31">
        <v>13000</v>
      </c>
      <c r="T13" s="31">
        <v>9000</v>
      </c>
      <c r="U13" s="31">
        <v>14000</v>
      </c>
      <c r="V13" s="32">
        <v>10000</v>
      </c>
    </row>
    <row r="14" spans="1:22" ht="13.8" thickBot="1">
      <c r="A14" s="52" t="s">
        <v>5</v>
      </c>
      <c r="B14" s="53">
        <f>IFERROR((E14/F14-1), "")</f>
        <v>-3.4616202423984666E-2</v>
      </c>
      <c r="C14" s="134">
        <f>E14-[1]Netherlands!C14</f>
        <v>-9665</v>
      </c>
      <c r="D14" s="35">
        <f>F14-[1]Netherlands!D14</f>
        <v>-8756</v>
      </c>
      <c r="E14" s="166">
        <v>22701</v>
      </c>
      <c r="F14" s="35">
        <v>23515</v>
      </c>
      <c r="G14" s="35">
        <v>22124</v>
      </c>
      <c r="H14" s="35">
        <v>25000</v>
      </c>
      <c r="I14" s="35">
        <v>22000</v>
      </c>
      <c r="J14" s="35">
        <v>21519</v>
      </c>
      <c r="K14" s="35">
        <v>12419</v>
      </c>
      <c r="L14" s="35">
        <v>20412</v>
      </c>
      <c r="M14" s="35">
        <v>18906</v>
      </c>
      <c r="N14" s="35">
        <v>20509</v>
      </c>
      <c r="O14" s="35">
        <v>18102</v>
      </c>
      <c r="P14" s="35">
        <v>6000</v>
      </c>
      <c r="Q14" s="35">
        <v>9000</v>
      </c>
      <c r="R14" s="35">
        <v>9000</v>
      </c>
      <c r="S14" s="35">
        <v>8000</v>
      </c>
      <c r="T14" s="35">
        <v>4000</v>
      </c>
      <c r="U14" s="35">
        <v>5000</v>
      </c>
      <c r="V14" s="36">
        <v>5000</v>
      </c>
    </row>
    <row r="15" spans="1:22" ht="13.8" thickBot="1">
      <c r="A15" s="37" t="s">
        <v>22</v>
      </c>
      <c r="B15" s="54">
        <f>IFERROR((E15/F15-1), "")</f>
        <v>2.0039805092306739E-2</v>
      </c>
      <c r="C15" s="135">
        <f>E15-[1]Netherlands!C15</f>
        <v>-33216</v>
      </c>
      <c r="D15" s="55">
        <f>F15-[1]Netherlands!D15</f>
        <v>-32881</v>
      </c>
      <c r="E15" s="167">
        <f>SUM(E12:E14)</f>
        <v>237808</v>
      </c>
      <c r="F15" s="55">
        <f>SUM(F12:F14)</f>
        <v>233136</v>
      </c>
      <c r="G15" s="55">
        <f>SUM(G12:G14)</f>
        <v>221094</v>
      </c>
      <c r="H15" s="55">
        <f>SUM(H12:H14)</f>
        <v>257000</v>
      </c>
      <c r="I15" s="55">
        <f>SUM(I12:I14)</f>
        <v>228000</v>
      </c>
      <c r="J15" s="55">
        <v>249916.53599999999</v>
      </c>
      <c r="K15" s="55">
        <v>206152</v>
      </c>
      <c r="L15" s="55">
        <f>SUM(L12:L14)</f>
        <v>232567</v>
      </c>
      <c r="M15" s="55">
        <f>SUM(M12:M14)</f>
        <v>224184</v>
      </c>
      <c r="N15" s="55">
        <f>SUM(N12:N14)</f>
        <v>220066</v>
      </c>
      <c r="O15" s="55">
        <f>SUM(O12:O14)</f>
        <v>221727</v>
      </c>
      <c r="P15" s="55">
        <f>SUM(P12:P14)</f>
        <v>117000</v>
      </c>
      <c r="Q15" s="55">
        <f t="shared" ref="Q15:V15" si="2">SUM(Q12:Q14)</f>
        <v>187000</v>
      </c>
      <c r="R15" s="55">
        <f t="shared" si="2"/>
        <v>150000</v>
      </c>
      <c r="S15" s="55">
        <f t="shared" si="2"/>
        <v>171000</v>
      </c>
      <c r="T15" s="55">
        <f t="shared" si="2"/>
        <v>86000</v>
      </c>
      <c r="U15" s="55">
        <f t="shared" si="2"/>
        <v>129000</v>
      </c>
      <c r="V15" s="56">
        <f t="shared" si="2"/>
        <v>120000</v>
      </c>
    </row>
    <row r="22" spans="21:23" ht="17.399999999999999">
      <c r="U22" s="75"/>
      <c r="V22" s="31"/>
      <c r="W22" s="31"/>
    </row>
    <row r="23" spans="21:23" ht="17.399999999999999">
      <c r="U23" s="75"/>
      <c r="V23" s="31"/>
      <c r="W23" s="31"/>
    </row>
    <row r="24" spans="21:23" ht="17.399999999999999">
      <c r="U24" s="75"/>
      <c r="V24" s="31"/>
      <c r="W24" s="31"/>
    </row>
    <row r="25" spans="21:23" ht="17.399999999999999">
      <c r="U25" s="75"/>
      <c r="V25" s="31"/>
      <c r="W25" s="31"/>
    </row>
    <row r="26" spans="21:23" ht="17.399999999999999">
      <c r="U26" s="75"/>
      <c r="V26" s="31"/>
      <c r="W26" s="31"/>
    </row>
    <row r="27" spans="21:23" ht="17.399999999999999">
      <c r="U27" s="75"/>
      <c r="V27" s="31"/>
      <c r="W27" s="31"/>
    </row>
    <row r="28" spans="21:23" ht="17.399999999999999">
      <c r="U28" s="75"/>
      <c r="V28" s="31"/>
      <c r="W28" s="31"/>
    </row>
    <row r="29" spans="21:23" ht="17.399999999999999">
      <c r="U29" s="75"/>
      <c r="V29" s="31"/>
      <c r="W29" s="31"/>
    </row>
    <row r="30" spans="21:23" ht="17.399999999999999">
      <c r="U30" s="75"/>
      <c r="V30" s="31"/>
      <c r="W30" s="31"/>
    </row>
    <row r="31" spans="21:23" ht="17.399999999999999">
      <c r="U31" s="75"/>
      <c r="V31" s="31"/>
      <c r="W31" s="31"/>
    </row>
    <row r="32" spans="21:23" ht="17.399999999999999">
      <c r="U32" s="76"/>
      <c r="V32" s="31"/>
      <c r="W32" s="31"/>
    </row>
    <row r="33" spans="21:23" ht="18">
      <c r="U33" s="77"/>
      <c r="V33" s="66"/>
      <c r="W33" s="66"/>
    </row>
  </sheetData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9"/>
  <sheetViews>
    <sheetView zoomScaleNormal="100" workbookViewId="0"/>
  </sheetViews>
  <sheetFormatPr defaultColWidth="9.109375" defaultRowHeight="13.2"/>
  <cols>
    <col min="1" max="1" width="24.66406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109375" style="26" bestFit="1" customWidth="1"/>
    <col min="23" max="16384" width="9.109375" style="26"/>
  </cols>
  <sheetData>
    <row r="1" spans="1:23" ht="13.8" thickBot="1">
      <c r="A1" s="27" t="s">
        <v>92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3">
      <c r="A2" s="29" t="s">
        <v>10</v>
      </c>
      <c r="B2" s="30" t="str">
        <f t="shared" ref="B2:B12" si="0">IFERROR((E2/F2-1), "")</f>
        <v/>
      </c>
      <c r="C2" s="132"/>
      <c r="D2" s="31">
        <f>F2-[1]UK!D2</f>
        <v>0</v>
      </c>
      <c r="E2" s="164"/>
      <c r="F2" s="31"/>
      <c r="G2" s="31"/>
      <c r="H2" s="31"/>
      <c r="I2" s="31"/>
      <c r="J2" s="31"/>
      <c r="K2" s="31">
        <v>9190</v>
      </c>
      <c r="L2" s="31"/>
      <c r="M2" s="31">
        <v>24500</v>
      </c>
      <c r="N2" s="31">
        <v>25000</v>
      </c>
      <c r="O2" s="31">
        <v>23100</v>
      </c>
      <c r="P2" s="31">
        <v>13500</v>
      </c>
      <c r="Q2" s="31">
        <v>18500</v>
      </c>
      <c r="R2" s="31">
        <v>12000</v>
      </c>
      <c r="S2" s="31">
        <v>18400</v>
      </c>
      <c r="T2" s="31">
        <v>8900</v>
      </c>
      <c r="U2" s="31">
        <v>9000</v>
      </c>
      <c r="V2" s="32">
        <v>5700</v>
      </c>
    </row>
    <row r="3" spans="1:23">
      <c r="A3" s="29" t="s">
        <v>35</v>
      </c>
      <c r="B3" s="30" t="str">
        <f t="shared" si="0"/>
        <v/>
      </c>
      <c r="C3" s="132"/>
      <c r="D3" s="31">
        <f>F3-[1]UK!D3</f>
        <v>0</v>
      </c>
      <c r="E3" s="164"/>
      <c r="F3" s="31"/>
      <c r="G3" s="31"/>
      <c r="H3" s="31"/>
      <c r="I3" s="31"/>
      <c r="J3" s="31"/>
      <c r="K3" s="31">
        <v>49500</v>
      </c>
      <c r="L3" s="31"/>
      <c r="M3" s="31">
        <v>42000</v>
      </c>
      <c r="N3" s="31">
        <v>62000</v>
      </c>
      <c r="O3" s="31">
        <v>55000</v>
      </c>
      <c r="P3" s="31">
        <v>31000</v>
      </c>
      <c r="Q3" s="31">
        <v>62000</v>
      </c>
      <c r="R3" s="31">
        <v>71000</v>
      </c>
      <c r="S3" s="31">
        <v>62000</v>
      </c>
      <c r="T3" s="31">
        <v>57000</v>
      </c>
      <c r="U3" s="31">
        <v>55000</v>
      </c>
      <c r="V3" s="32">
        <v>58000</v>
      </c>
    </row>
    <row r="4" spans="1:23">
      <c r="A4" s="29" t="s">
        <v>28</v>
      </c>
      <c r="B4" s="30" t="str">
        <f t="shared" si="0"/>
        <v/>
      </c>
      <c r="C4" s="132"/>
      <c r="D4" s="31">
        <f>F4-[1]UK!D4</f>
        <v>0</v>
      </c>
      <c r="E4" s="164"/>
      <c r="F4" s="31"/>
      <c r="G4" s="31"/>
      <c r="H4" s="31"/>
      <c r="I4" s="31"/>
      <c r="J4" s="31"/>
      <c r="K4" s="31"/>
      <c r="L4" s="31"/>
      <c r="M4" s="31">
        <v>1800</v>
      </c>
      <c r="N4" s="31"/>
      <c r="O4" s="31">
        <v>1900</v>
      </c>
      <c r="P4" s="31">
        <v>1800</v>
      </c>
      <c r="Q4" s="31"/>
      <c r="R4" s="31"/>
      <c r="S4" s="31">
        <v>1400</v>
      </c>
      <c r="T4" s="31">
        <v>1300</v>
      </c>
      <c r="U4" s="31"/>
      <c r="V4" s="32"/>
    </row>
    <row r="5" spans="1:23">
      <c r="A5" s="29" t="s">
        <v>4</v>
      </c>
      <c r="B5" s="30" t="str">
        <f t="shared" si="0"/>
        <v/>
      </c>
      <c r="C5" s="132"/>
      <c r="D5" s="31">
        <f>F5-[1]UK!D5</f>
        <v>0</v>
      </c>
      <c r="E5" s="164"/>
      <c r="F5" s="31"/>
      <c r="G5" s="31"/>
      <c r="H5" s="31"/>
      <c r="I5" s="31"/>
      <c r="J5" s="31"/>
      <c r="K5" s="31">
        <v>10685</v>
      </c>
      <c r="L5" s="31"/>
      <c r="M5" s="31">
        <v>20100</v>
      </c>
      <c r="N5" s="31">
        <v>14000</v>
      </c>
      <c r="O5" s="31">
        <v>24800</v>
      </c>
      <c r="P5" s="31">
        <v>15500</v>
      </c>
      <c r="Q5" s="31">
        <v>27000</v>
      </c>
      <c r="R5" s="31">
        <v>24000</v>
      </c>
      <c r="S5" s="31">
        <v>26000</v>
      </c>
      <c r="T5" s="31">
        <v>27000</v>
      </c>
      <c r="U5" s="31">
        <v>27000</v>
      </c>
      <c r="V5" s="32">
        <v>25000</v>
      </c>
    </row>
    <row r="6" spans="1:23">
      <c r="A6" s="29" t="s">
        <v>8</v>
      </c>
      <c r="B6" s="30" t="str">
        <f t="shared" si="0"/>
        <v/>
      </c>
      <c r="C6" s="132"/>
      <c r="D6" s="31">
        <f>F6-[1]UK!D6</f>
        <v>0</v>
      </c>
      <c r="E6" s="164"/>
      <c r="F6" s="31"/>
      <c r="G6" s="31"/>
      <c r="H6" s="31"/>
      <c r="I6" s="31"/>
      <c r="J6" s="31"/>
      <c r="K6" s="31">
        <v>23608</v>
      </c>
      <c r="L6" s="31"/>
      <c r="M6" s="31">
        <v>41600</v>
      </c>
      <c r="N6" s="31">
        <v>34000</v>
      </c>
      <c r="O6" s="31">
        <v>28800</v>
      </c>
      <c r="P6" s="31">
        <v>24500</v>
      </c>
      <c r="Q6" s="31">
        <v>25000</v>
      </c>
      <c r="R6" s="31">
        <v>21000</v>
      </c>
      <c r="S6" s="31">
        <v>18000</v>
      </c>
      <c r="T6" s="31">
        <v>16000</v>
      </c>
      <c r="U6" s="31">
        <v>12000</v>
      </c>
      <c r="V6" s="32">
        <v>6500</v>
      </c>
    </row>
    <row r="7" spans="1:23">
      <c r="A7" s="29" t="s">
        <v>26</v>
      </c>
      <c r="B7" s="30" t="str">
        <f t="shared" si="0"/>
        <v/>
      </c>
      <c r="C7" s="132"/>
      <c r="D7" s="31">
        <f>F7-[1]UK!D7</f>
        <v>0</v>
      </c>
      <c r="E7" s="164"/>
      <c r="F7" s="31"/>
      <c r="G7" s="31"/>
      <c r="H7" s="31"/>
      <c r="I7" s="31"/>
      <c r="J7" s="31"/>
      <c r="K7" s="31">
        <v>1080</v>
      </c>
      <c r="L7" s="31"/>
      <c r="M7" s="31">
        <v>500</v>
      </c>
      <c r="N7" s="31">
        <v>1000</v>
      </c>
      <c r="O7" s="31">
        <v>2900</v>
      </c>
      <c r="P7" s="31">
        <v>2000</v>
      </c>
      <c r="Q7" s="31">
        <v>2000</v>
      </c>
      <c r="R7" s="31">
        <v>2000</v>
      </c>
      <c r="S7" s="31">
        <v>1000</v>
      </c>
      <c r="T7" s="31">
        <v>2500</v>
      </c>
      <c r="U7" s="31">
        <v>7000</v>
      </c>
      <c r="V7" s="32">
        <v>3000</v>
      </c>
      <c r="W7" s="31"/>
    </row>
    <row r="8" spans="1:23">
      <c r="A8" s="29" t="s">
        <v>25</v>
      </c>
      <c r="B8" s="30" t="str">
        <f t="shared" si="0"/>
        <v/>
      </c>
      <c r="C8" s="132"/>
      <c r="D8" s="31">
        <f>F8-[1]UK!D8</f>
        <v>0</v>
      </c>
      <c r="E8" s="164"/>
      <c r="F8" s="31"/>
      <c r="G8" s="31"/>
      <c r="H8" s="31"/>
      <c r="I8" s="31"/>
      <c r="J8" s="31"/>
      <c r="K8" s="31"/>
      <c r="L8" s="31"/>
      <c r="M8" s="31">
        <v>7000</v>
      </c>
      <c r="N8" s="31">
        <v>6000</v>
      </c>
      <c r="O8" s="31">
        <v>8800</v>
      </c>
      <c r="P8" s="31">
        <v>7000</v>
      </c>
      <c r="Q8" s="31">
        <v>6000</v>
      </c>
      <c r="R8" s="31">
        <v>6000</v>
      </c>
      <c r="S8" s="31">
        <v>5000</v>
      </c>
      <c r="T8" s="31">
        <v>4000</v>
      </c>
      <c r="U8" s="31"/>
      <c r="V8" s="32"/>
    </row>
    <row r="9" spans="1:23">
      <c r="A9" s="29" t="s">
        <v>34</v>
      </c>
      <c r="B9" s="30" t="str">
        <f t="shared" si="0"/>
        <v/>
      </c>
      <c r="C9" s="132"/>
      <c r="D9" s="31">
        <f>F9-[1]UK!D9</f>
        <v>0</v>
      </c>
      <c r="E9" s="164"/>
      <c r="F9" s="31"/>
      <c r="G9" s="31"/>
      <c r="H9" s="31"/>
      <c r="I9" s="31"/>
      <c r="J9" s="31"/>
      <c r="K9" s="31"/>
      <c r="L9" s="31"/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/>
      <c r="V9" s="32"/>
    </row>
    <row r="10" spans="1:23">
      <c r="A10" s="29" t="s">
        <v>136</v>
      </c>
      <c r="B10" s="30" t="str">
        <f t="shared" si="0"/>
        <v/>
      </c>
      <c r="C10" s="132"/>
      <c r="D10" s="31">
        <f>F10-[1]UK!D10</f>
        <v>0</v>
      </c>
      <c r="E10" s="164"/>
      <c r="F10" s="31"/>
      <c r="G10" s="31"/>
      <c r="H10" s="31"/>
      <c r="I10" s="31"/>
      <c r="J10" s="31"/>
      <c r="K10" s="31"/>
      <c r="L10" s="31"/>
      <c r="M10" s="31">
        <v>9900</v>
      </c>
      <c r="N10" s="31">
        <v>10500</v>
      </c>
      <c r="O10" s="31">
        <v>9900</v>
      </c>
      <c r="P10" s="31">
        <v>5200</v>
      </c>
      <c r="Q10" s="31">
        <v>8000</v>
      </c>
      <c r="R10" s="31">
        <v>8000</v>
      </c>
      <c r="S10" s="31">
        <v>5800</v>
      </c>
      <c r="T10" s="31"/>
      <c r="U10" s="31"/>
      <c r="V10" s="32"/>
    </row>
    <row r="11" spans="1:23" ht="13.8" thickBot="1">
      <c r="A11" s="33" t="s">
        <v>5</v>
      </c>
      <c r="B11" s="34" t="str">
        <f t="shared" si="0"/>
        <v/>
      </c>
      <c r="C11" s="134"/>
      <c r="D11" s="35">
        <f>F11-[1]UK!D11</f>
        <v>0</v>
      </c>
      <c r="E11" s="166"/>
      <c r="F11" s="35"/>
      <c r="G11" s="35"/>
      <c r="H11" s="35"/>
      <c r="I11" s="35"/>
      <c r="J11" s="35"/>
      <c r="K11" s="35"/>
      <c r="L11" s="35"/>
      <c r="M11" s="35">
        <v>3000</v>
      </c>
      <c r="N11" s="35">
        <v>5000</v>
      </c>
      <c r="O11" s="35">
        <v>2000</v>
      </c>
      <c r="P11" s="35">
        <v>2500</v>
      </c>
      <c r="Q11" s="35">
        <v>3000</v>
      </c>
      <c r="R11" s="35">
        <v>6000</v>
      </c>
      <c r="S11" s="35">
        <v>5000</v>
      </c>
      <c r="T11" s="35">
        <v>6000</v>
      </c>
      <c r="U11" s="35">
        <v>6500</v>
      </c>
      <c r="V11" s="36">
        <v>6000</v>
      </c>
    </row>
    <row r="12" spans="1:23" ht="13.8" thickBot="1">
      <c r="A12" s="37" t="s">
        <v>93</v>
      </c>
      <c r="B12" s="54" t="str">
        <f t="shared" si="0"/>
        <v/>
      </c>
      <c r="C12" s="135"/>
      <c r="D12" s="55">
        <f>F12-[1]UK!D12</f>
        <v>0</v>
      </c>
      <c r="E12" s="167"/>
      <c r="F12" s="55"/>
      <c r="G12" s="55"/>
      <c r="H12" s="55"/>
      <c r="I12" s="55"/>
      <c r="J12" s="55"/>
      <c r="K12" s="55">
        <v>94063</v>
      </c>
      <c r="L12" s="39"/>
      <c r="M12" s="39">
        <v>150400</v>
      </c>
      <c r="N12" s="39">
        <f>SUM(N2:N11)</f>
        <v>157500</v>
      </c>
      <c r="O12" s="39">
        <f>SUM(O2:O11)</f>
        <v>157200</v>
      </c>
      <c r="P12" s="39">
        <f>SUM(P2:P11)</f>
        <v>103000</v>
      </c>
      <c r="Q12" s="39">
        <f t="shared" ref="Q12:V12" si="1">SUM(Q2:Q11)</f>
        <v>151500</v>
      </c>
      <c r="R12" s="39">
        <f t="shared" si="1"/>
        <v>150000</v>
      </c>
      <c r="S12" s="39">
        <f t="shared" si="1"/>
        <v>142600</v>
      </c>
      <c r="T12" s="39">
        <f t="shared" si="1"/>
        <v>122700</v>
      </c>
      <c r="U12" s="39">
        <f t="shared" si="1"/>
        <v>116500</v>
      </c>
      <c r="V12" s="56">
        <f t="shared" si="1"/>
        <v>104200</v>
      </c>
    </row>
    <row r="14" spans="1:23" ht="13.8" thickBot="1"/>
    <row r="15" spans="1:23" ht="13.8" thickBot="1">
      <c r="A15" s="27" t="s">
        <v>92</v>
      </c>
      <c r="B15" s="12" t="s">
        <v>184</v>
      </c>
      <c r="C15" s="117" t="s">
        <v>185</v>
      </c>
      <c r="D15" s="42" t="s">
        <v>179</v>
      </c>
      <c r="E15" s="156">
        <v>45261</v>
      </c>
      <c r="F15" s="13">
        <v>44896</v>
      </c>
      <c r="G15" s="13">
        <v>44531</v>
      </c>
      <c r="H15" s="13">
        <v>44166</v>
      </c>
      <c r="I15" s="13">
        <v>43800</v>
      </c>
      <c r="J15" s="13">
        <v>43435</v>
      </c>
      <c r="K15" s="13">
        <v>43070</v>
      </c>
      <c r="L15" s="13">
        <v>42705</v>
      </c>
      <c r="M15" s="28">
        <v>42339</v>
      </c>
      <c r="N15" s="28">
        <f>N1</f>
        <v>41974</v>
      </c>
      <c r="O15" s="28">
        <v>41609</v>
      </c>
      <c r="P15" s="28">
        <v>41244</v>
      </c>
      <c r="Q15" s="28">
        <v>40878</v>
      </c>
      <c r="R15" s="28">
        <v>40513</v>
      </c>
      <c r="S15" s="28">
        <v>40148</v>
      </c>
      <c r="T15" s="28">
        <v>39783</v>
      </c>
      <c r="U15" s="28">
        <v>39417</v>
      </c>
      <c r="V15" s="44">
        <v>39052</v>
      </c>
    </row>
    <row r="16" spans="1:23">
      <c r="A16" s="29" t="s">
        <v>6</v>
      </c>
      <c r="B16" s="30" t="str">
        <f>IFERROR((E16/F16-1), "")</f>
        <v/>
      </c>
      <c r="C16" s="132"/>
      <c r="D16" s="31">
        <f>F16-[1]UK!D16</f>
        <v>0</v>
      </c>
      <c r="E16" s="164"/>
      <c r="F16" s="31"/>
      <c r="G16" s="31"/>
      <c r="H16" s="31"/>
      <c r="I16" s="31"/>
      <c r="J16" s="31"/>
      <c r="K16" s="31">
        <v>9646</v>
      </c>
      <c r="L16" s="31"/>
      <c r="M16" s="31">
        <v>14400</v>
      </c>
      <c r="N16" s="31">
        <v>11500</v>
      </c>
      <c r="O16" s="31">
        <v>15100</v>
      </c>
      <c r="P16" s="31">
        <v>13000</v>
      </c>
      <c r="Q16" s="31">
        <v>16000</v>
      </c>
      <c r="R16" s="31">
        <v>16000</v>
      </c>
      <c r="S16" s="31">
        <v>17000</v>
      </c>
      <c r="T16" s="31">
        <v>13000</v>
      </c>
      <c r="U16" s="31">
        <v>13000</v>
      </c>
      <c r="V16" s="32">
        <v>15000</v>
      </c>
    </row>
    <row r="17" spans="1:22">
      <c r="A17" s="29" t="s">
        <v>94</v>
      </c>
      <c r="B17" s="30" t="str">
        <f>IFERROR((E17/F17-1), "")</f>
        <v/>
      </c>
      <c r="C17" s="132"/>
      <c r="D17" s="31">
        <f>F17-[1]UK!D17</f>
        <v>0</v>
      </c>
      <c r="E17" s="164"/>
      <c r="F17" s="31"/>
      <c r="G17" s="31"/>
      <c r="H17" s="31"/>
      <c r="I17" s="31"/>
      <c r="J17" s="31"/>
      <c r="K17" s="31">
        <v>428</v>
      </c>
      <c r="L17" s="31"/>
      <c r="M17" s="31">
        <v>1800</v>
      </c>
      <c r="N17" s="31">
        <v>1500</v>
      </c>
      <c r="O17" s="31">
        <v>1000</v>
      </c>
      <c r="P17" s="31">
        <v>1000</v>
      </c>
      <c r="Q17" s="31">
        <v>2500</v>
      </c>
      <c r="R17" s="31">
        <v>1000</v>
      </c>
      <c r="S17" s="31">
        <v>1000</v>
      </c>
      <c r="T17" s="31">
        <v>1000</v>
      </c>
      <c r="U17" s="31">
        <v>1000</v>
      </c>
      <c r="V17" s="32">
        <v>2000</v>
      </c>
    </row>
    <row r="18" spans="1:22" ht="13.8" thickBot="1">
      <c r="A18" s="33" t="s">
        <v>5</v>
      </c>
      <c r="B18" s="34" t="str">
        <f>IFERROR((E18/F18-1), "")</f>
        <v/>
      </c>
      <c r="C18" s="134"/>
      <c r="D18" s="35">
        <f>F18-[1]UK!D18</f>
        <v>0</v>
      </c>
      <c r="E18" s="166"/>
      <c r="F18" s="35"/>
      <c r="G18" s="35"/>
      <c r="H18" s="35"/>
      <c r="I18" s="35"/>
      <c r="J18" s="35"/>
      <c r="K18" s="35"/>
      <c r="L18" s="35"/>
      <c r="M18" s="35">
        <v>500</v>
      </c>
      <c r="N18" s="35">
        <v>500</v>
      </c>
      <c r="O18" s="35">
        <v>500</v>
      </c>
      <c r="P18" s="35">
        <v>0</v>
      </c>
      <c r="Q18" s="35">
        <v>1000</v>
      </c>
      <c r="R18" s="35">
        <v>1000</v>
      </c>
      <c r="S18" s="35">
        <v>900</v>
      </c>
      <c r="T18" s="35">
        <v>100</v>
      </c>
      <c r="U18" s="35">
        <v>1000</v>
      </c>
      <c r="V18" s="36">
        <v>1000</v>
      </c>
    </row>
    <row r="19" spans="1:22" ht="13.8" thickBot="1">
      <c r="A19" s="37" t="s">
        <v>93</v>
      </c>
      <c r="B19" s="54" t="str">
        <f>IFERROR((E19/F19-1), "")</f>
        <v/>
      </c>
      <c r="C19" s="135"/>
      <c r="D19" s="55">
        <f>F19-[1]UK!D19</f>
        <v>0</v>
      </c>
      <c r="E19" s="167"/>
      <c r="F19" s="55"/>
      <c r="G19" s="55"/>
      <c r="H19" s="55"/>
      <c r="I19" s="55"/>
      <c r="J19" s="55"/>
      <c r="K19" s="55">
        <v>10074</v>
      </c>
      <c r="L19" s="39"/>
      <c r="M19" s="39">
        <v>16700</v>
      </c>
      <c r="N19" s="39">
        <f>SUM(N16:N18)</f>
        <v>13500</v>
      </c>
      <c r="O19" s="39">
        <f>SUM(O16:O18)</f>
        <v>16600</v>
      </c>
      <c r="P19" s="39">
        <f>SUM(P16:P18)</f>
        <v>14000</v>
      </c>
      <c r="Q19" s="39">
        <f t="shared" ref="Q19:V19" si="2">SUM(Q16:Q18)</f>
        <v>19500</v>
      </c>
      <c r="R19" s="39">
        <f t="shared" si="2"/>
        <v>18000</v>
      </c>
      <c r="S19" s="39">
        <f t="shared" si="2"/>
        <v>18900</v>
      </c>
      <c r="T19" s="39">
        <f t="shared" si="2"/>
        <v>14100</v>
      </c>
      <c r="U19" s="39">
        <f t="shared" si="2"/>
        <v>15000</v>
      </c>
      <c r="V19" s="40">
        <f t="shared" si="2"/>
        <v>18000</v>
      </c>
    </row>
  </sheetData>
  <pageMargins left="0.75" right="0.75" top="1" bottom="1" header="0.5" footer="0.5"/>
  <pageSetup paperSize="9" scale="73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9"/>
  <sheetViews>
    <sheetView zoomScaleNormal="100" workbookViewId="0"/>
  </sheetViews>
  <sheetFormatPr defaultColWidth="8.6640625" defaultRowHeight="13.2"/>
  <cols>
    <col min="1" max="1" width="26.33203125" bestFit="1" customWidth="1"/>
    <col min="2" max="2" width="10.6640625" customWidth="1"/>
    <col min="3" max="3" width="13.33203125" bestFit="1" customWidth="1"/>
    <col min="4" max="4" width="11.44140625" bestFit="1" customWidth="1"/>
    <col min="5" max="9" width="11.44140625" customWidth="1"/>
    <col min="10" max="11" width="10.6640625" customWidth="1"/>
    <col min="12" max="22" width="10.109375" bestFit="1" customWidth="1"/>
    <col min="26" max="26" width="21.44140625" bestFit="1" customWidth="1"/>
  </cols>
  <sheetData>
    <row r="1" spans="1:29" ht="13.8" thickBot="1">
      <c r="A1" s="11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13">
        <v>42339</v>
      </c>
      <c r="N1" s="13">
        <v>41974</v>
      </c>
      <c r="O1" s="13">
        <v>41609</v>
      </c>
      <c r="P1" s="13">
        <v>41244</v>
      </c>
      <c r="Q1" s="13">
        <v>40878</v>
      </c>
      <c r="R1" s="13">
        <v>40513</v>
      </c>
      <c r="S1" s="13">
        <v>40148</v>
      </c>
      <c r="T1" s="13">
        <v>39783</v>
      </c>
      <c r="U1" s="13">
        <v>39417</v>
      </c>
      <c r="V1" s="14">
        <v>39052</v>
      </c>
    </row>
    <row r="2" spans="1:29">
      <c r="A2" s="9" t="s">
        <v>10</v>
      </c>
      <c r="B2" s="15" t="str">
        <f>IFERROR((E2/F2-1), "")</f>
        <v/>
      </c>
      <c r="C2" s="119">
        <f>E2-[1]US!C2</f>
        <v>0</v>
      </c>
      <c r="D2" s="116">
        <f>F2-[1]US!D2</f>
        <v>0</v>
      </c>
      <c r="E2" s="157"/>
      <c r="F2" s="1"/>
      <c r="G2" s="1">
        <f>184885*(42*0.453592/1000)</f>
        <v>3522.2189906399999</v>
      </c>
      <c r="H2" s="116">
        <v>5612</v>
      </c>
      <c r="I2" s="116">
        <v>9338</v>
      </c>
      <c r="J2" s="1">
        <v>13092</v>
      </c>
      <c r="K2" s="1">
        <v>19914</v>
      </c>
      <c r="L2" s="1">
        <v>31538</v>
      </c>
      <c r="M2" s="1">
        <v>21896</v>
      </c>
      <c r="N2" s="1">
        <v>43201</v>
      </c>
      <c r="O2" s="1">
        <v>26431</v>
      </c>
      <c r="P2" s="1">
        <v>39427</v>
      </c>
      <c r="Q2" s="1">
        <v>39027</v>
      </c>
      <c r="R2" s="1">
        <v>54824.863883847553</v>
      </c>
      <c r="S2" s="1">
        <v>49012.704174228675</v>
      </c>
      <c r="T2" s="1">
        <v>58845.735027223229</v>
      </c>
      <c r="U2" s="1">
        <v>55434.664246823959</v>
      </c>
      <c r="V2" s="17">
        <v>52195.099818511793</v>
      </c>
      <c r="X2">
        <v>3523</v>
      </c>
      <c r="Z2" s="3" t="s">
        <v>180</v>
      </c>
      <c r="AB2">
        <v>206882</v>
      </c>
      <c r="AC2">
        <v>184885</v>
      </c>
    </row>
    <row r="3" spans="1:29">
      <c r="A3" s="9" t="s">
        <v>32</v>
      </c>
      <c r="B3" s="15">
        <f t="shared" ref="B3:B27" si="0">IFERROR((E3/F3-1), "")</f>
        <v>-1.3946862454049525E-3</v>
      </c>
      <c r="C3" s="119">
        <f>E3-[1]US!C3</f>
        <v>-1150.7874294932399</v>
      </c>
      <c r="D3" s="116">
        <f>F3-[1]US!D3</f>
        <v>-891.46685719476045</v>
      </c>
      <c r="E3" s="157">
        <v>3819.3584319382799</v>
      </c>
      <c r="F3" s="1">
        <v>3824.6926782094797</v>
      </c>
      <c r="G3" s="1">
        <f>155749*(42*0.453592/1000)</f>
        <v>2967.153017136</v>
      </c>
      <c r="H3" s="116">
        <v>5563</v>
      </c>
      <c r="I3" s="116">
        <v>5012</v>
      </c>
      <c r="J3" s="1">
        <v>5660</v>
      </c>
      <c r="K3" s="1">
        <v>5031</v>
      </c>
      <c r="L3" s="1">
        <v>5317</v>
      </c>
      <c r="M3" s="1">
        <v>9185</v>
      </c>
      <c r="N3" s="1">
        <v>6555</v>
      </c>
      <c r="O3" s="1">
        <v>7661</v>
      </c>
      <c r="P3" s="1">
        <v>2382</v>
      </c>
      <c r="Q3" s="1">
        <v>6365</v>
      </c>
      <c r="R3" s="1">
        <v>4954.6279491833029</v>
      </c>
      <c r="S3" s="1">
        <v>6669.6914700544467</v>
      </c>
      <c r="T3" s="1">
        <v>7374.7731397459165</v>
      </c>
      <c r="U3" s="1">
        <v>8003.6297640653356</v>
      </c>
      <c r="V3" s="17">
        <v>6402.9038112522685</v>
      </c>
      <c r="X3">
        <v>2968</v>
      </c>
      <c r="Z3">
        <f>42*0.453592/1000</f>
        <v>1.9050864000000001E-2</v>
      </c>
      <c r="AB3">
        <v>200762</v>
      </c>
      <c r="AC3">
        <v>155749</v>
      </c>
    </row>
    <row r="4" spans="1:29">
      <c r="A4" s="9" t="s">
        <v>174</v>
      </c>
      <c r="B4" s="15">
        <f t="shared" si="0"/>
        <v>0.33788983502156511</v>
      </c>
      <c r="C4" s="119">
        <f>E4-[1]US!C4</f>
        <v>-3320.3015915084397</v>
      </c>
      <c r="D4" s="116">
        <f>F4-[1]US!D4</f>
        <v>3211.4448658168694</v>
      </c>
      <c r="E4" s="157">
        <v>138508.96247446103</v>
      </c>
      <c r="F4" s="1">
        <v>103527.92797190843</v>
      </c>
      <c r="G4" s="1">
        <f>3406666*(42*0.453592/1000)</f>
        <v>64899.930659424004</v>
      </c>
      <c r="H4" s="116">
        <v>27202</v>
      </c>
      <c r="I4" s="116">
        <v>6193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7"/>
      <c r="X4">
        <v>64918</v>
      </c>
      <c r="AB4">
        <v>5434286</v>
      </c>
      <c r="AC4">
        <v>3406666</v>
      </c>
    </row>
    <row r="5" spans="1:29">
      <c r="A5" s="9" t="s">
        <v>48</v>
      </c>
      <c r="B5" s="15">
        <f t="shared" si="0"/>
        <v>-0.17719600591584017</v>
      </c>
      <c r="C5" s="119">
        <f>E5-[1]US!C5</f>
        <v>-708.15929426088042</v>
      </c>
      <c r="D5" s="116">
        <f>F5-[1]US!D5</f>
        <v>-2496.0462373308001</v>
      </c>
      <c r="E5" s="157">
        <v>17572.74084737094</v>
      </c>
      <c r="F5" s="1">
        <v>21357.14091535332</v>
      </c>
      <c r="G5" s="1">
        <f>819840*(42*0.453592/1000)</f>
        <v>15618.66034176</v>
      </c>
      <c r="H5" s="116">
        <v>21394</v>
      </c>
      <c r="I5" s="116">
        <v>20219</v>
      </c>
      <c r="J5" s="1">
        <v>28718</v>
      </c>
      <c r="K5" s="1">
        <v>26069</v>
      </c>
      <c r="L5" s="1">
        <v>22887</v>
      </c>
      <c r="M5" s="1">
        <v>32643</v>
      </c>
      <c r="N5" s="1">
        <v>26946</v>
      </c>
      <c r="O5" s="1">
        <v>33749</v>
      </c>
      <c r="P5" s="1">
        <v>7946</v>
      </c>
      <c r="Q5" s="1">
        <v>33825</v>
      </c>
      <c r="R5" s="1">
        <v>30985.480943738658</v>
      </c>
      <c r="S5" s="1">
        <v>39389.292196007256</v>
      </c>
      <c r="T5" s="1">
        <v>30185.117967332124</v>
      </c>
      <c r="U5" s="1">
        <v>40437.386569872957</v>
      </c>
      <c r="V5" s="17">
        <v>41599.81851179673</v>
      </c>
      <c r="X5">
        <v>15623</v>
      </c>
      <c r="AB5">
        <v>1121058</v>
      </c>
      <c r="AC5">
        <v>819840</v>
      </c>
    </row>
    <row r="6" spans="1:29">
      <c r="A6" s="9" t="s">
        <v>11</v>
      </c>
      <c r="B6" s="15">
        <f t="shared" si="0"/>
        <v>0.19271218090827147</v>
      </c>
      <c r="C6" s="119">
        <f>E6-[1]US!C6</f>
        <v>-22442.793387699319</v>
      </c>
      <c r="D6" s="116">
        <f>F6-[1]US!D6</f>
        <v>-24426.847237392591</v>
      </c>
      <c r="E6" s="157">
        <v>259630.83492266844</v>
      </c>
      <c r="F6" s="1">
        <v>217681.04583702245</v>
      </c>
      <c r="G6" s="1">
        <f>12686611*(42*0.453592/1000)</f>
        <v>241690.900781904</v>
      </c>
      <c r="H6" s="116">
        <v>280513</v>
      </c>
      <c r="I6" s="116">
        <v>281137</v>
      </c>
      <c r="J6" s="1">
        <v>257907</v>
      </c>
      <c r="K6" s="1">
        <v>287730</v>
      </c>
      <c r="L6" s="1">
        <v>256955</v>
      </c>
      <c r="M6" s="1">
        <v>227837</v>
      </c>
      <c r="N6" s="1">
        <v>285253</v>
      </c>
      <c r="O6" s="1">
        <v>217565</v>
      </c>
      <c r="P6" s="1">
        <v>323328</v>
      </c>
      <c r="Q6" s="1">
        <v>198338</v>
      </c>
      <c r="R6" s="1">
        <v>222977.31397459164</v>
      </c>
      <c r="S6" s="1">
        <v>198013.611615245</v>
      </c>
      <c r="T6" s="1">
        <v>248474.59165154264</v>
      </c>
      <c r="U6" s="1">
        <v>172649.72776769509</v>
      </c>
      <c r="V6" s="17">
        <v>179986.388384755</v>
      </c>
      <c r="X6">
        <v>241759</v>
      </c>
      <c r="AB6">
        <v>11426299</v>
      </c>
      <c r="AC6">
        <v>12686611</v>
      </c>
    </row>
    <row r="7" spans="1:29">
      <c r="A7" s="9" t="s">
        <v>8</v>
      </c>
      <c r="B7" s="15">
        <f t="shared" si="0"/>
        <v>5.1850350233950238E-2</v>
      </c>
      <c r="C7" s="119">
        <f>E7-[1]US!C7</f>
        <v>-66572.993738457328</v>
      </c>
      <c r="D7" s="116">
        <f>F7-[1]US!D7</f>
        <v>-40486.948249287554</v>
      </c>
      <c r="E7" s="157">
        <v>392730.24299910787</v>
      </c>
      <c r="F7" s="1">
        <v>373370.83446495753</v>
      </c>
      <c r="G7" s="1">
        <f>19006350*(42*0.453592/1000)</f>
        <v>362087.38898640004</v>
      </c>
      <c r="H7" s="116">
        <v>398858</v>
      </c>
      <c r="I7" s="116">
        <v>478941</v>
      </c>
      <c r="J7" s="1">
        <v>401534</v>
      </c>
      <c r="K7" s="1">
        <v>472138</v>
      </c>
      <c r="L7" s="1">
        <v>436331</v>
      </c>
      <c r="M7" s="1">
        <v>342689</v>
      </c>
      <c r="N7" s="1">
        <v>434521</v>
      </c>
      <c r="O7" s="1">
        <v>350521</v>
      </c>
      <c r="P7" s="1">
        <v>335047</v>
      </c>
      <c r="Q7" s="1">
        <v>308711</v>
      </c>
      <c r="R7" s="1">
        <v>281613.43012704176</v>
      </c>
      <c r="S7" s="1">
        <v>251828.4936479129</v>
      </c>
      <c r="T7" s="1">
        <v>255830.30852994556</v>
      </c>
      <c r="U7" s="1">
        <v>222196.00725952812</v>
      </c>
      <c r="V7" s="17">
        <v>177566.24319419239</v>
      </c>
      <c r="X7">
        <v>362190</v>
      </c>
      <c r="AB7">
        <v>19598614</v>
      </c>
      <c r="AC7">
        <v>19006350</v>
      </c>
    </row>
    <row r="8" spans="1:29">
      <c r="A8" s="9" t="s">
        <v>2</v>
      </c>
      <c r="B8" s="15">
        <f t="shared" si="0"/>
        <v>0.37636122861929766</v>
      </c>
      <c r="C8" s="119">
        <f>E8-[1]US!C8</f>
        <v>-24561.87987157212</v>
      </c>
      <c r="D8" s="116">
        <f>F8-[1]US!D8</f>
        <v>-9764.2234941543575</v>
      </c>
      <c r="E8" s="157">
        <v>100803.93796088154</v>
      </c>
      <c r="F8" s="1">
        <v>73239.448965010015</v>
      </c>
      <c r="G8" s="1">
        <f>4584105*(42*0.453592/1000)</f>
        <v>87331.160916720008</v>
      </c>
      <c r="H8" s="116">
        <v>85113</v>
      </c>
      <c r="I8" s="116">
        <v>138691</v>
      </c>
      <c r="J8" s="1">
        <v>91737</v>
      </c>
      <c r="K8" s="1">
        <v>146638</v>
      </c>
      <c r="L8" s="1">
        <v>138310</v>
      </c>
      <c r="M8" s="1">
        <v>150907</v>
      </c>
      <c r="N8" s="1">
        <v>216136</v>
      </c>
      <c r="O8" s="1">
        <v>185646</v>
      </c>
      <c r="P8" s="1">
        <v>210495</v>
      </c>
      <c r="Q8" s="1">
        <v>191877</v>
      </c>
      <c r="R8" s="1">
        <v>200033.57531760435</v>
      </c>
      <c r="S8" s="1">
        <v>199690.56261343011</v>
      </c>
      <c r="T8" s="1">
        <v>257507.25952813067</v>
      </c>
      <c r="U8" s="1">
        <v>201939.20145190562</v>
      </c>
      <c r="V8" s="17">
        <v>179109.80036297641</v>
      </c>
      <c r="X8">
        <v>87356</v>
      </c>
      <c r="AB8">
        <v>3844413</v>
      </c>
      <c r="AC8">
        <v>4584105</v>
      </c>
    </row>
    <row r="9" spans="1:29">
      <c r="A9" s="9" t="s">
        <v>16</v>
      </c>
      <c r="B9" s="15">
        <f t="shared" si="0"/>
        <v>0.57547092821279189</v>
      </c>
      <c r="C9" s="119">
        <f>E9-[1]US!C9</f>
        <v>-52954.339143131569</v>
      </c>
      <c r="D9" s="116">
        <f>F9-[1]US!D9</f>
        <v>-23022.625957378739</v>
      </c>
      <c r="E9" s="157">
        <v>294957.45238007663</v>
      </c>
      <c r="F9" s="1">
        <v>187218.59419816476</v>
      </c>
      <c r="G9" s="1">
        <f>13800473*(42*0.453592/1000)</f>
        <v>262910.934258672</v>
      </c>
      <c r="H9" s="116">
        <v>215795</v>
      </c>
      <c r="I9" s="116">
        <v>268636</v>
      </c>
      <c r="J9" s="1">
        <v>198985</v>
      </c>
      <c r="K9" s="1">
        <v>318163</v>
      </c>
      <c r="L9" s="1">
        <v>230104</v>
      </c>
      <c r="M9" s="1">
        <v>270046</v>
      </c>
      <c r="N9" s="1">
        <v>259661</v>
      </c>
      <c r="O9" s="1">
        <v>244778</v>
      </c>
      <c r="P9" s="1">
        <v>206665</v>
      </c>
      <c r="Q9" s="1">
        <v>196870.23593466423</v>
      </c>
      <c r="R9" s="1">
        <v>200452.81306715062</v>
      </c>
      <c r="S9" s="1">
        <v>186141.5607985481</v>
      </c>
      <c r="T9" s="1">
        <v>272980.94373865699</v>
      </c>
      <c r="U9" s="1">
        <v>197594.37386569873</v>
      </c>
      <c r="V9" s="17">
        <v>220023.59346642467</v>
      </c>
      <c r="X9">
        <v>262985</v>
      </c>
      <c r="AB9">
        <v>9827294</v>
      </c>
      <c r="AC9">
        <v>13800473</v>
      </c>
    </row>
    <row r="10" spans="1:29">
      <c r="A10" s="9" t="s">
        <v>158</v>
      </c>
      <c r="B10" s="15">
        <f t="shared" si="0"/>
        <v>0.84942144270905695</v>
      </c>
      <c r="C10" s="119">
        <f>E10-[1]US!C10</f>
        <v>-47361.55338569422</v>
      </c>
      <c r="D10" s="116">
        <f>F10-[1]US!D10</f>
        <v>-26876.923702393367</v>
      </c>
      <c r="E10" s="157">
        <v>332470.74884196557</v>
      </c>
      <c r="F10" s="1">
        <v>179770.13846825418</v>
      </c>
      <c r="G10" s="1">
        <f>10188230*(42*0.453592/1000)</f>
        <v>194094.58413072</v>
      </c>
      <c r="H10" s="116">
        <v>234693</v>
      </c>
      <c r="I10" s="116">
        <v>239575</v>
      </c>
      <c r="J10" s="1">
        <v>176423</v>
      </c>
      <c r="K10" s="1">
        <v>165123</v>
      </c>
      <c r="L10" s="1">
        <v>106448</v>
      </c>
      <c r="M10" s="1">
        <v>82571</v>
      </c>
      <c r="N10" s="1">
        <v>67859</v>
      </c>
      <c r="O10" s="1">
        <v>47526</v>
      </c>
      <c r="P10" s="1"/>
      <c r="Q10" s="1"/>
      <c r="R10" s="1"/>
      <c r="S10" s="1"/>
      <c r="T10" s="1"/>
      <c r="U10" s="1"/>
      <c r="V10" s="17"/>
      <c r="X10">
        <v>194150</v>
      </c>
      <c r="AB10">
        <v>9436317</v>
      </c>
      <c r="AC10">
        <v>10188230</v>
      </c>
    </row>
    <row r="11" spans="1:29">
      <c r="A11" s="10" t="s">
        <v>9</v>
      </c>
      <c r="B11" s="15">
        <f t="shared" si="0"/>
        <v>-0.43989286091890567</v>
      </c>
      <c r="C11" s="119">
        <f>E11-[1]US!C11</f>
        <v>-27.318961260360084</v>
      </c>
      <c r="D11" s="116">
        <f>F11-[1]US!D11</f>
        <v>-1098.3403581196199</v>
      </c>
      <c r="E11" s="157">
        <v>1816.6156694162398</v>
      </c>
      <c r="F11" s="1">
        <v>3243.3360381668399</v>
      </c>
      <c r="G11" s="1">
        <f>64144*(42*0.453592/1000)</f>
        <v>1221.998620416</v>
      </c>
      <c r="H11" s="116">
        <v>4151</v>
      </c>
      <c r="I11" s="116">
        <v>3316</v>
      </c>
      <c r="J11" s="1">
        <v>2115</v>
      </c>
      <c r="K11" s="1">
        <v>3964</v>
      </c>
      <c r="L11" s="1">
        <v>5279</v>
      </c>
      <c r="M11" s="41">
        <v>4097</v>
      </c>
      <c r="N11" s="41">
        <v>5831</v>
      </c>
      <c r="O11" s="41">
        <v>9585</v>
      </c>
      <c r="P11" s="41">
        <v>1391</v>
      </c>
      <c r="Q11" s="41">
        <v>7946.4609800362978</v>
      </c>
      <c r="R11" s="41">
        <v>3944.64609800363</v>
      </c>
      <c r="S11" s="41">
        <v>9070.7803992740464</v>
      </c>
      <c r="T11" s="41">
        <v>8994.5553539019966</v>
      </c>
      <c r="U11" s="1">
        <v>6669.6914700544467</v>
      </c>
      <c r="V11" s="17">
        <v>8365.6987295825766</v>
      </c>
      <c r="X11">
        <v>1222</v>
      </c>
      <c r="AB11">
        <v>170246</v>
      </c>
      <c r="AC11">
        <v>64144</v>
      </c>
    </row>
    <row r="12" spans="1:29">
      <c r="A12" s="10" t="s">
        <v>26</v>
      </c>
      <c r="B12" s="15" t="str">
        <f t="shared" si="0"/>
        <v/>
      </c>
      <c r="C12" s="119">
        <f>E12-[1]US!C12</f>
        <v>0</v>
      </c>
      <c r="D12" s="116">
        <f>F12-[1]US!D12</f>
        <v>0</v>
      </c>
      <c r="E12" s="157"/>
      <c r="F12" s="1">
        <f>0*(42*0.453592/1000)</f>
        <v>0</v>
      </c>
      <c r="G12" s="1">
        <f>0*(42*0.453592/1000)</f>
        <v>0</v>
      </c>
      <c r="H12" s="116"/>
      <c r="I12" s="116"/>
      <c r="J12" s="1">
        <v>12863</v>
      </c>
      <c r="K12" s="1">
        <v>12139</v>
      </c>
      <c r="L12" s="1">
        <v>16979</v>
      </c>
      <c r="M12" s="41">
        <v>15340</v>
      </c>
      <c r="N12" s="41">
        <v>23534</v>
      </c>
      <c r="O12" s="41">
        <v>24868</v>
      </c>
      <c r="P12" s="41">
        <v>14692</v>
      </c>
      <c r="Q12" s="41">
        <v>19342.105263157893</v>
      </c>
      <c r="R12" s="41">
        <v>20961.887477313976</v>
      </c>
      <c r="S12" s="41">
        <v>23267.695099818513</v>
      </c>
      <c r="T12" s="41">
        <v>24163.33938294011</v>
      </c>
      <c r="U12" s="1">
        <v>14978.221415607986</v>
      </c>
      <c r="V12" s="17">
        <v>20028.130671506351</v>
      </c>
    </row>
    <row r="13" spans="1:29">
      <c r="A13" s="10" t="s">
        <v>49</v>
      </c>
      <c r="B13" s="15">
        <f t="shared" si="0"/>
        <v>-4.3724028686434879E-3</v>
      </c>
      <c r="C13" s="119">
        <f>E13-[1]US!C13</f>
        <v>-282.41023830095992</v>
      </c>
      <c r="D13" s="116">
        <f>F13-[1]US!D13</f>
        <v>-248.38536744251996</v>
      </c>
      <c r="E13" s="157">
        <v>1748.22301186764</v>
      </c>
      <c r="F13" s="1">
        <v>1755.90051632226</v>
      </c>
      <c r="G13" s="1">
        <f>56951*(42*0.453592/1000)</f>
        <v>1084.965755664</v>
      </c>
      <c r="H13" s="116">
        <v>2102</v>
      </c>
      <c r="I13" s="116">
        <v>1944</v>
      </c>
      <c r="J13" s="1">
        <v>3354</v>
      </c>
      <c r="K13" s="1">
        <v>1791</v>
      </c>
      <c r="L13" s="1">
        <v>5088</v>
      </c>
      <c r="M13" s="41">
        <v>5469</v>
      </c>
      <c r="N13" s="41">
        <v>5869</v>
      </c>
      <c r="O13" s="41">
        <v>7451</v>
      </c>
      <c r="P13" s="41">
        <v>38</v>
      </c>
      <c r="Q13" s="41">
        <v>13701.451905626134</v>
      </c>
      <c r="R13" s="41">
        <v>5411.9782214156075</v>
      </c>
      <c r="S13" s="41">
        <v>14235.027223230491</v>
      </c>
      <c r="T13" s="41">
        <v>5850.2722323049002</v>
      </c>
      <c r="U13" s="1">
        <v>4058.9836660617061</v>
      </c>
      <c r="V13" s="17">
        <v>6574.410163339383</v>
      </c>
      <c r="X13">
        <v>1085</v>
      </c>
      <c r="AB13">
        <v>92169</v>
      </c>
      <c r="AC13">
        <v>56951</v>
      </c>
    </row>
    <row r="14" spans="1:29">
      <c r="A14" s="10" t="s">
        <v>50</v>
      </c>
      <c r="B14" s="15">
        <f t="shared" si="0"/>
        <v>0.1432049886778739</v>
      </c>
      <c r="C14" s="119">
        <f>E14-[1]US!C14</f>
        <v>-1696.5760774347</v>
      </c>
      <c r="D14" s="116">
        <f>F14-[1]US!D14</f>
        <v>-3051.4365285604217</v>
      </c>
      <c r="E14" s="157">
        <v>21332.546229867181</v>
      </c>
      <c r="F14" s="1">
        <v>18660.298407670918</v>
      </c>
      <c r="G14" s="1">
        <f>1021936*(42*0.453592/1000)</f>
        <v>19468.763752704002</v>
      </c>
      <c r="H14" s="116">
        <v>25845</v>
      </c>
      <c r="I14" s="116">
        <v>34854</v>
      </c>
      <c r="J14" s="1">
        <v>37141</v>
      </c>
      <c r="K14" s="1">
        <v>36779</v>
      </c>
      <c r="L14" s="1">
        <v>32662</v>
      </c>
      <c r="M14" s="41">
        <v>49661</v>
      </c>
      <c r="N14" s="41">
        <v>45392</v>
      </c>
      <c r="O14" s="41">
        <v>47298</v>
      </c>
      <c r="P14" s="41">
        <v>19971</v>
      </c>
      <c r="Q14" s="41">
        <v>31557</v>
      </c>
      <c r="R14" s="41">
        <v>29270.417422867515</v>
      </c>
      <c r="S14" s="41">
        <v>49984.57350272232</v>
      </c>
      <c r="T14" s="41">
        <v>43505.444646098003</v>
      </c>
      <c r="U14" s="1">
        <v>39255.898366606169</v>
      </c>
      <c r="V14" s="17">
        <v>37502.722323049005</v>
      </c>
      <c r="X14">
        <v>19474</v>
      </c>
      <c r="AB14">
        <v>979498</v>
      </c>
      <c r="AC14">
        <v>1021936</v>
      </c>
    </row>
    <row r="15" spans="1:29">
      <c r="A15" s="10" t="s">
        <v>51</v>
      </c>
      <c r="B15" s="15">
        <f t="shared" si="0"/>
        <v>-2.9187360541279683E-2</v>
      </c>
      <c r="C15" s="119">
        <f>E15-[1]US!C15</f>
        <v>-88.186521390659891</v>
      </c>
      <c r="D15" s="116">
        <f>F15-[1]US!D15</f>
        <v>-126.57404366375999</v>
      </c>
      <c r="E15" s="157">
        <v>1027.794951183</v>
      </c>
      <c r="F15" s="1">
        <v>1058.6954777968799</v>
      </c>
      <c r="G15" s="1">
        <f>36086*(42*0.453592/1000)</f>
        <v>687.46947830400006</v>
      </c>
      <c r="H15" s="116">
        <v>1244</v>
      </c>
      <c r="I15" s="116">
        <v>1601</v>
      </c>
      <c r="J15" s="1">
        <v>1448</v>
      </c>
      <c r="K15" s="1">
        <v>2211</v>
      </c>
      <c r="L15" s="1">
        <v>2592</v>
      </c>
      <c r="M15" s="41">
        <v>1429</v>
      </c>
      <c r="N15" s="41">
        <v>1410</v>
      </c>
      <c r="O15" s="41">
        <v>2249</v>
      </c>
      <c r="P15" s="41">
        <v>1525</v>
      </c>
      <c r="Q15" s="41">
        <v>3487</v>
      </c>
      <c r="R15" s="41">
        <v>3296.7332123411979</v>
      </c>
      <c r="S15" s="41">
        <v>3296.7332123411979</v>
      </c>
      <c r="T15" s="41">
        <v>3677.8584392014518</v>
      </c>
      <c r="U15" s="1">
        <v>5678.7658802177857</v>
      </c>
      <c r="V15" s="17">
        <v>4230.4900181488201</v>
      </c>
      <c r="X15">
        <v>688</v>
      </c>
      <c r="AB15">
        <v>55572</v>
      </c>
      <c r="AC15">
        <v>36086</v>
      </c>
    </row>
    <row r="16" spans="1:29">
      <c r="A16" s="10" t="s">
        <v>52</v>
      </c>
      <c r="B16" s="15">
        <f t="shared" si="0"/>
        <v>0.26925466610333793</v>
      </c>
      <c r="C16" s="119">
        <f>E16-[1]US!C16</f>
        <v>-99.540845596500048</v>
      </c>
      <c r="D16" s="116">
        <f>F16-[1]US!D16</f>
        <v>-58.276640512860013</v>
      </c>
      <c r="E16" s="157">
        <v>972.94746898734002</v>
      </c>
      <c r="F16" s="1">
        <v>766.55024005097994</v>
      </c>
      <c r="G16" s="1">
        <f>47075*(42*0.453592/1000)</f>
        <v>896.81942279999998</v>
      </c>
      <c r="H16" s="116">
        <v>955</v>
      </c>
      <c r="I16" s="116">
        <v>1544</v>
      </c>
      <c r="J16" s="1">
        <v>877</v>
      </c>
      <c r="K16" s="1">
        <v>19</v>
      </c>
      <c r="L16" s="1">
        <v>0</v>
      </c>
      <c r="M16" s="41">
        <v>19</v>
      </c>
      <c r="N16" s="41">
        <v>0</v>
      </c>
      <c r="O16" s="41">
        <v>57</v>
      </c>
      <c r="P16" s="41">
        <v>419</v>
      </c>
      <c r="Q16" s="41">
        <v>1581.6696914700544</v>
      </c>
      <c r="R16" s="41">
        <v>2096.1887477313976</v>
      </c>
      <c r="S16" s="41">
        <v>5888.384754990926</v>
      </c>
      <c r="T16" s="41">
        <v>3372.9582577132487</v>
      </c>
      <c r="U16" s="1">
        <v>381.12522686025409</v>
      </c>
      <c r="V16" s="17">
        <v>171.50635208711435</v>
      </c>
      <c r="X16">
        <v>897</v>
      </c>
      <c r="AB16">
        <v>40237</v>
      </c>
      <c r="AC16">
        <v>47075</v>
      </c>
    </row>
    <row r="17" spans="1:29">
      <c r="A17" s="10" t="s">
        <v>53</v>
      </c>
      <c r="B17" s="15" t="str">
        <f t="shared" si="0"/>
        <v/>
      </c>
      <c r="C17" s="119">
        <f>E17-[1]US!C17</f>
        <v>0</v>
      </c>
      <c r="D17" s="116">
        <f>F17-[1]US!D17</f>
        <v>0</v>
      </c>
      <c r="E17" s="157"/>
      <c r="F17" s="1">
        <f>0*(42*0.453592/1000)</f>
        <v>0</v>
      </c>
      <c r="G17" s="1">
        <f>0*(42*0.453592/1000)</f>
        <v>0</v>
      </c>
      <c r="H17" s="116"/>
      <c r="I17" s="116"/>
      <c r="J17" s="1">
        <v>0</v>
      </c>
      <c r="K17" s="1">
        <v>0</v>
      </c>
      <c r="L17" s="1">
        <v>19</v>
      </c>
      <c r="M17" s="41">
        <v>19</v>
      </c>
      <c r="N17" s="41">
        <v>0</v>
      </c>
      <c r="O17" s="41">
        <v>1048</v>
      </c>
      <c r="P17" s="41">
        <v>19</v>
      </c>
      <c r="Q17" s="41">
        <v>57.168784029038115</v>
      </c>
      <c r="R17" s="41">
        <v>0</v>
      </c>
      <c r="S17" s="41">
        <v>438.29401088929222</v>
      </c>
      <c r="T17" s="41">
        <v>19.056261343012704</v>
      </c>
      <c r="U17" s="1">
        <v>95.281306715063522</v>
      </c>
      <c r="V17" s="17">
        <v>114.33756805807623</v>
      </c>
    </row>
    <row r="18" spans="1:29">
      <c r="A18" s="9" t="s">
        <v>21</v>
      </c>
      <c r="B18" s="15">
        <f t="shared" si="0"/>
        <v>0.34693876864214368</v>
      </c>
      <c r="C18" s="119">
        <f>E18-[1]US!C18</f>
        <v>685.85071431956021</v>
      </c>
      <c r="D18" s="116">
        <f>F18-[1]US!D18</f>
        <v>10804.420567917899</v>
      </c>
      <c r="E18" s="157">
        <v>152497.48989605592</v>
      </c>
      <c r="F18" s="1">
        <v>113217.83398497726</v>
      </c>
      <c r="G18" s="1">
        <f>7442068*(42*0.453592/1000)</f>
        <v>141777.82534675201</v>
      </c>
      <c r="H18" s="116">
        <v>113099</v>
      </c>
      <c r="I18" s="116">
        <v>107477</v>
      </c>
      <c r="J18" s="1">
        <v>101322</v>
      </c>
      <c r="K18" s="1">
        <v>94405</v>
      </c>
      <c r="L18" s="1">
        <v>104181</v>
      </c>
      <c r="M18" s="1">
        <v>92366</v>
      </c>
      <c r="N18" s="1">
        <v>72852</v>
      </c>
      <c r="O18" s="1">
        <v>60084</v>
      </c>
      <c r="P18" s="1">
        <v>62619</v>
      </c>
      <c r="Q18" s="1">
        <v>50270.417422867511</v>
      </c>
      <c r="R18" s="1">
        <v>54462.794918330306</v>
      </c>
      <c r="S18" s="1">
        <v>59836.66061705989</v>
      </c>
      <c r="T18" s="1">
        <v>48593.466424682396</v>
      </c>
      <c r="U18" s="1">
        <v>45372.958257713246</v>
      </c>
      <c r="V18" s="17">
        <v>34568.058076225047</v>
      </c>
      <c r="X18">
        <v>141818</v>
      </c>
      <c r="AB18">
        <v>5942919</v>
      </c>
      <c r="AC18">
        <v>7442068</v>
      </c>
    </row>
    <row r="19" spans="1:29">
      <c r="A19" s="10" t="s">
        <v>18</v>
      </c>
      <c r="B19" s="15">
        <f t="shared" si="0"/>
        <v>0.44594578133164275</v>
      </c>
      <c r="C19" s="119">
        <f>E19-[1]US!C19</f>
        <v>-45081.96324169694</v>
      </c>
      <c r="D19" s="116">
        <f>F19-[1]US!D19</f>
        <v>-28458.070500695263</v>
      </c>
      <c r="E19" s="157">
        <v>384429.46996945719</v>
      </c>
      <c r="F19" s="1">
        <v>265867.14034008741</v>
      </c>
      <c r="G19" s="1">
        <f>17018252*(42*0.453592/1000)</f>
        <v>324212.404369728</v>
      </c>
      <c r="H19" s="116">
        <v>369791</v>
      </c>
      <c r="I19" s="116">
        <v>481018</v>
      </c>
      <c r="J19" s="1">
        <v>499045</v>
      </c>
      <c r="K19" s="1">
        <v>602197</v>
      </c>
      <c r="L19" s="1">
        <v>676116</v>
      </c>
      <c r="M19" s="41">
        <v>538168</v>
      </c>
      <c r="N19" s="41">
        <v>804308</v>
      </c>
      <c r="O19" s="41">
        <v>608009</v>
      </c>
      <c r="P19" s="41">
        <v>650828</v>
      </c>
      <c r="Q19" s="41">
        <v>599815</v>
      </c>
      <c r="R19" s="41">
        <v>547219.60072595277</v>
      </c>
      <c r="S19" s="41">
        <v>627103.44827586203</v>
      </c>
      <c r="T19" s="41">
        <v>618871.14337568055</v>
      </c>
      <c r="U19" s="1">
        <v>555375.68058076221</v>
      </c>
      <c r="V19" s="17">
        <v>617594.3738656987</v>
      </c>
      <c r="X19">
        <v>324304</v>
      </c>
      <c r="AB19">
        <v>13955636</v>
      </c>
      <c r="AC19">
        <v>17018252</v>
      </c>
    </row>
    <row r="20" spans="1:29">
      <c r="A20" s="10" t="s">
        <v>54</v>
      </c>
      <c r="B20" s="15">
        <f t="shared" si="0"/>
        <v>5.4905514539300038E-2</v>
      </c>
      <c r="C20" s="119">
        <f>E20-[1]US!C20</f>
        <v>265.35970111265988</v>
      </c>
      <c r="D20" s="116">
        <f>F20-[1]US!D20</f>
        <v>-180.90715211183988</v>
      </c>
      <c r="E20" s="157">
        <v>3770.0738065682999</v>
      </c>
      <c r="F20" s="1">
        <v>3573.8497473062998</v>
      </c>
      <c r="G20" s="1">
        <f>168623*(42*0.453592/1000)</f>
        <v>3212.413840272</v>
      </c>
      <c r="H20" s="116">
        <v>3480</v>
      </c>
      <c r="I20" s="116">
        <v>7546</v>
      </c>
      <c r="J20" s="1">
        <v>4955</v>
      </c>
      <c r="K20" s="1">
        <v>8061</v>
      </c>
      <c r="L20" s="1">
        <v>9642</v>
      </c>
      <c r="M20" s="41">
        <v>6479</v>
      </c>
      <c r="N20" s="41">
        <v>8175</v>
      </c>
      <c r="O20" s="41">
        <v>7184</v>
      </c>
      <c r="P20" s="41">
        <v>4116</v>
      </c>
      <c r="Q20" s="41">
        <v>8251.3611615245009</v>
      </c>
      <c r="R20" s="41">
        <v>6212.3411978221411</v>
      </c>
      <c r="S20" s="41">
        <v>8689.6551724137935</v>
      </c>
      <c r="T20" s="41">
        <v>9108.8929219600723</v>
      </c>
      <c r="U20" s="1">
        <v>10423.774954627948</v>
      </c>
      <c r="V20" s="17">
        <v>12539.01996370236</v>
      </c>
      <c r="X20">
        <v>3213</v>
      </c>
      <c r="AB20">
        <v>187595</v>
      </c>
      <c r="AC20">
        <v>168623</v>
      </c>
    </row>
    <row r="21" spans="1:29">
      <c r="A21" s="10" t="s">
        <v>55</v>
      </c>
      <c r="B21" s="15">
        <f t="shared" si="0"/>
        <v>9.8876139346921743E-2</v>
      </c>
      <c r="C21" s="119">
        <f>E21-[1]US!C21</f>
        <v>66.201806401499994</v>
      </c>
      <c r="D21" s="116">
        <f>F21-[1]US!D21</f>
        <v>-14.421515811779955</v>
      </c>
      <c r="E21" s="157">
        <v>709.70241550361993</v>
      </c>
      <c r="F21" s="1">
        <v>645.84386728554</v>
      </c>
      <c r="G21" s="1">
        <f>13833*(42*0.453592/1000)</f>
        <v>263.53060171200002</v>
      </c>
      <c r="H21" s="116">
        <v>715</v>
      </c>
      <c r="I21" s="116">
        <v>705</v>
      </c>
      <c r="J21" s="1">
        <v>991</v>
      </c>
      <c r="K21" s="1">
        <v>2096</v>
      </c>
      <c r="L21" s="1">
        <v>3544</v>
      </c>
      <c r="M21" s="41">
        <v>5240</v>
      </c>
      <c r="N21" s="41">
        <v>4021</v>
      </c>
      <c r="O21" s="41">
        <v>8518</v>
      </c>
      <c r="P21" s="41">
        <v>1734</v>
      </c>
      <c r="Q21" s="41">
        <v>6384</v>
      </c>
      <c r="R21" s="41">
        <v>7736.8421052631575</v>
      </c>
      <c r="S21" s="41">
        <v>9661.5245009074406</v>
      </c>
      <c r="T21" s="41">
        <v>11891.107078039928</v>
      </c>
      <c r="U21" s="1">
        <v>8308.5299455535387</v>
      </c>
      <c r="V21" s="17">
        <v>15416.515426497277</v>
      </c>
      <c r="X21">
        <v>264</v>
      </c>
      <c r="AB21">
        <v>33901</v>
      </c>
      <c r="AC21">
        <v>13833</v>
      </c>
    </row>
    <row r="22" spans="1:29">
      <c r="A22" s="10" t="s">
        <v>34</v>
      </c>
      <c r="B22" s="15">
        <f t="shared" si="0"/>
        <v>-0.11712136117384608</v>
      </c>
      <c r="C22" s="119">
        <f>E22-[1]US!C22</f>
        <v>-26.156857608420069</v>
      </c>
      <c r="D22" s="116">
        <f>F22-[1]US!D22</f>
        <v>-111.06662771820038</v>
      </c>
      <c r="E22" s="157">
        <v>2427.8440885775999</v>
      </c>
      <c r="F22" s="1">
        <v>2749.9182580808397</v>
      </c>
      <c r="G22" s="1">
        <f>145292*(42*0.453592/1000)</f>
        <v>2767.9381322879999</v>
      </c>
      <c r="H22" s="116">
        <v>2182</v>
      </c>
      <c r="I22" s="116">
        <v>2001</v>
      </c>
      <c r="J22" s="1">
        <v>2744</v>
      </c>
      <c r="K22" s="1">
        <v>3144</v>
      </c>
      <c r="L22" s="1">
        <v>1772</v>
      </c>
      <c r="M22" s="41">
        <v>1868</v>
      </c>
      <c r="N22" s="41">
        <v>2858</v>
      </c>
      <c r="O22" s="41">
        <v>2191</v>
      </c>
      <c r="P22" s="41">
        <v>1334</v>
      </c>
      <c r="Q22" s="41">
        <v>2972.7767695099819</v>
      </c>
      <c r="R22" s="41">
        <v>2191.4700544464608</v>
      </c>
      <c r="S22" s="41">
        <v>3735.0272232304901</v>
      </c>
      <c r="T22" s="41">
        <v>2343.9201451905628</v>
      </c>
      <c r="U22" s="1">
        <v>3849.3647912885663</v>
      </c>
      <c r="V22" s="17">
        <v>4611.615245009074</v>
      </c>
      <c r="X22">
        <v>2769</v>
      </c>
      <c r="AB22">
        <v>144346</v>
      </c>
      <c r="AC22">
        <v>145292</v>
      </c>
    </row>
    <row r="23" spans="1:29">
      <c r="A23" s="10" t="s">
        <v>19</v>
      </c>
      <c r="B23" s="15">
        <f t="shared" si="0"/>
        <v>-0.19378394689197354</v>
      </c>
      <c r="C23" s="119">
        <f>E23-[1]US!C23</f>
        <v>-157.45551939810002</v>
      </c>
      <c r="D23" s="116">
        <f>F23-[1]US!D23</f>
        <v>-35.244127148999951</v>
      </c>
      <c r="E23" s="157">
        <v>254.50069977485998</v>
      </c>
      <c r="F23" s="1">
        <v>315.67307397780002</v>
      </c>
      <c r="G23" s="1">
        <f>15393*(42*0.453592/1000)</f>
        <v>293.24994955200003</v>
      </c>
      <c r="H23" s="116">
        <v>302</v>
      </c>
      <c r="I23" s="116">
        <v>572</v>
      </c>
      <c r="J23" s="1">
        <v>610</v>
      </c>
      <c r="K23" s="1">
        <v>896</v>
      </c>
      <c r="L23" s="1">
        <v>553</v>
      </c>
      <c r="M23" s="41">
        <v>2020</v>
      </c>
      <c r="N23" s="41">
        <v>915</v>
      </c>
      <c r="O23" s="41">
        <v>800</v>
      </c>
      <c r="P23" s="41">
        <v>629</v>
      </c>
      <c r="Q23" s="41">
        <v>1029.0381125226861</v>
      </c>
      <c r="R23" s="41">
        <v>1200.5444646098003</v>
      </c>
      <c r="S23" s="41">
        <v>1638.8384754990925</v>
      </c>
      <c r="T23" s="41">
        <v>1848.4573502722324</v>
      </c>
      <c r="U23" s="1">
        <v>1696.0072595281306</v>
      </c>
      <c r="V23" s="17">
        <v>2362.9764065335753</v>
      </c>
      <c r="X23">
        <v>293</v>
      </c>
      <c r="AB23">
        <v>16570</v>
      </c>
      <c r="AC23">
        <v>15393</v>
      </c>
    </row>
    <row r="24" spans="1:29">
      <c r="A24" s="10" t="s">
        <v>56</v>
      </c>
      <c r="B24" s="15" t="str">
        <f t="shared" si="0"/>
        <v/>
      </c>
      <c r="C24" s="119">
        <f>E24-[1]US!C24</f>
        <v>0</v>
      </c>
      <c r="D24" s="116">
        <f>F24-[1]US!D24</f>
        <v>0</v>
      </c>
      <c r="E24" s="157"/>
      <c r="F24" s="1">
        <f>0*(42*0.453592/1000)</f>
        <v>0</v>
      </c>
      <c r="G24" s="1">
        <f>0*(42*0.453592/1000)</f>
        <v>0</v>
      </c>
      <c r="H24" s="116"/>
      <c r="I24" s="116"/>
      <c r="J24" s="1">
        <v>0</v>
      </c>
      <c r="K24" s="1">
        <v>0</v>
      </c>
      <c r="L24" s="1">
        <v>0</v>
      </c>
      <c r="M24" s="41">
        <v>0</v>
      </c>
      <c r="N24" s="41">
        <v>0</v>
      </c>
      <c r="O24" s="41">
        <v>267</v>
      </c>
      <c r="P24" s="41">
        <v>0</v>
      </c>
      <c r="Q24" s="41">
        <v>152.45009074410163</v>
      </c>
      <c r="R24" s="41">
        <v>95.281306715063522</v>
      </c>
      <c r="S24" s="41">
        <v>133.39382940108894</v>
      </c>
      <c r="T24" s="41">
        <v>343.0127041742287</v>
      </c>
      <c r="U24" s="1">
        <v>190.56261343012704</v>
      </c>
      <c r="V24" s="17">
        <v>705.0816696914701</v>
      </c>
    </row>
    <row r="25" spans="1:29">
      <c r="A25" s="10" t="s">
        <v>57</v>
      </c>
      <c r="B25" s="15">
        <f t="shared" si="0"/>
        <v>0.26924853355503231</v>
      </c>
      <c r="C25" s="119">
        <f>E25-[1]US!C25</f>
        <v>-107.14214653295994</v>
      </c>
      <c r="D25" s="116">
        <f>F25-[1]US!D25</f>
        <v>-66.54472223322</v>
      </c>
      <c r="E25" s="157">
        <v>1047.0553903979401</v>
      </c>
      <c r="F25" s="1">
        <v>824.94118584107991</v>
      </c>
      <c r="G25" s="1">
        <f>48987*(42*0.453592/1000)</f>
        <v>933.24467476799998</v>
      </c>
      <c r="H25" s="116">
        <v>934</v>
      </c>
      <c r="I25" s="116">
        <v>877</v>
      </c>
      <c r="J25" s="1">
        <v>953</v>
      </c>
      <c r="K25" s="1">
        <v>38</v>
      </c>
      <c r="L25" s="1">
        <v>229</v>
      </c>
      <c r="M25" s="41">
        <v>248</v>
      </c>
      <c r="N25" s="41">
        <v>248</v>
      </c>
      <c r="O25" s="41">
        <v>305</v>
      </c>
      <c r="P25" s="41">
        <v>19</v>
      </c>
      <c r="Q25" s="41">
        <v>3220.5081669691472</v>
      </c>
      <c r="R25" s="41">
        <v>990.92558983666061</v>
      </c>
      <c r="S25" s="41">
        <v>819.41923774954626</v>
      </c>
      <c r="T25" s="41">
        <v>666.9691470054446</v>
      </c>
      <c r="U25" s="1">
        <v>1162.431941923775</v>
      </c>
      <c r="V25" s="17">
        <v>609.80036297640652</v>
      </c>
      <c r="X25">
        <v>934</v>
      </c>
      <c r="AB25">
        <v>43302</v>
      </c>
      <c r="AC25">
        <v>48987</v>
      </c>
    </row>
    <row r="26" spans="1:29" ht="13.8" thickBot="1">
      <c r="A26" s="10" t="s">
        <v>58</v>
      </c>
      <c r="B26" s="15">
        <f t="shared" si="0"/>
        <v>0.27475469374125105</v>
      </c>
      <c r="C26" s="119">
        <f>E26-[1]US!C26</f>
        <v>-34344.087396012241</v>
      </c>
      <c r="D26" s="116">
        <f>F26-[1]US!D26</f>
        <v>-35664.46575517056</v>
      </c>
      <c r="E26" s="157">
        <v>257735.31051019751</v>
      </c>
      <c r="F26" s="1">
        <v>202184.24123136624</v>
      </c>
      <c r="G26" s="1">
        <f>(7802954+1464908)*(42*0.453592/1000)</f>
        <v>176560.77853276802</v>
      </c>
      <c r="H26" s="116">
        <f>134494+25468+3</f>
        <v>159965</v>
      </c>
      <c r="I26" s="116">
        <f>22391+141874</f>
        <v>164265</v>
      </c>
      <c r="J26" s="1"/>
      <c r="K26" s="1">
        <v>133889</v>
      </c>
      <c r="L26" s="1">
        <v>205026</v>
      </c>
      <c r="M26" s="41">
        <v>164379</v>
      </c>
      <c r="N26" s="41">
        <v>159139</v>
      </c>
      <c r="O26" s="41">
        <v>113728</v>
      </c>
      <c r="P26" s="41">
        <v>66544</v>
      </c>
      <c r="Q26" s="41">
        <v>67687.840290381122</v>
      </c>
      <c r="R26" s="41">
        <v>53052.631578947367</v>
      </c>
      <c r="S26" s="41">
        <v>64467.332123411979</v>
      </c>
      <c r="T26" s="41">
        <v>64410.16333938294</v>
      </c>
      <c r="U26" s="1">
        <v>49832.123411978224</v>
      </c>
      <c r="V26" s="17">
        <v>42476.406533575318</v>
      </c>
      <c r="X26">
        <v>176612</v>
      </c>
      <c r="AB26">
        <v>10612856</v>
      </c>
      <c r="AC26">
        <v>9267862</v>
      </c>
    </row>
    <row r="27" spans="1:29" ht="13.8" thickBot="1">
      <c r="A27" s="11" t="s">
        <v>22</v>
      </c>
      <c r="B27" s="113">
        <f t="shared" si="0"/>
        <v>0.33546972974185651</v>
      </c>
      <c r="C27" s="120">
        <f>E27-[1]US!C27</f>
        <v>-299966.23342521489</v>
      </c>
      <c r="D27" s="118">
        <f>F27-[1]US!D27</f>
        <v>-183062.94964058581</v>
      </c>
      <c r="E27" s="158">
        <f t="shared" ref="E27:J27" si="1">SUM(E2:E26)</f>
        <v>2370263.8529663254</v>
      </c>
      <c r="F27" s="118">
        <f t="shared" si="1"/>
        <v>1774854.0458678105</v>
      </c>
      <c r="G27" s="118">
        <f t="shared" si="1"/>
        <v>1908504.334561104</v>
      </c>
      <c r="H27" s="118">
        <f t="shared" si="1"/>
        <v>1959508</v>
      </c>
      <c r="I27" s="118">
        <f t="shared" si="1"/>
        <v>2255462</v>
      </c>
      <c r="J27" s="101">
        <f t="shared" si="1"/>
        <v>1842474</v>
      </c>
      <c r="K27" s="101">
        <v>2342435</v>
      </c>
      <c r="L27" s="101">
        <f t="shared" ref="L27:V27" si="2">SUM(L2:L26)</f>
        <v>2291572</v>
      </c>
      <c r="M27" s="101">
        <f t="shared" si="2"/>
        <v>2024576</v>
      </c>
      <c r="N27" s="101">
        <f t="shared" si="2"/>
        <v>2474684</v>
      </c>
      <c r="O27" s="101">
        <f t="shared" si="2"/>
        <v>2007519</v>
      </c>
      <c r="P27" s="101">
        <f t="shared" si="2"/>
        <v>1951168</v>
      </c>
      <c r="Q27" s="101">
        <f t="shared" si="2"/>
        <v>1792469.4845735026</v>
      </c>
      <c r="R27" s="101">
        <f t="shared" si="2"/>
        <v>1733986.3883847552</v>
      </c>
      <c r="S27" s="101">
        <f t="shared" si="2"/>
        <v>1813012.7041742287</v>
      </c>
      <c r="T27" s="101">
        <f t="shared" si="2"/>
        <v>1978859.3466424681</v>
      </c>
      <c r="U27" s="101">
        <f t="shared" si="2"/>
        <v>1645584.3920145188</v>
      </c>
      <c r="V27" s="99">
        <f t="shared" si="2"/>
        <v>1664754.9909255898</v>
      </c>
    </row>
    <row r="28" spans="1:29" s="1" customFormat="1">
      <c r="F28" s="154"/>
      <c r="G28" s="155"/>
    </row>
    <row r="29" spans="1:29" ht="13.8" thickBo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9" ht="13.8" thickBot="1">
      <c r="A30" s="11" t="s">
        <v>24</v>
      </c>
      <c r="B30" s="12" t="s">
        <v>184</v>
      </c>
      <c r="C30" s="117" t="s">
        <v>185</v>
      </c>
      <c r="D30" s="42" t="s">
        <v>179</v>
      </c>
      <c r="E30" s="156">
        <v>45261</v>
      </c>
      <c r="F30" s="13">
        <v>44896</v>
      </c>
      <c r="G30" s="13">
        <v>44531</v>
      </c>
      <c r="H30" s="13">
        <v>44166</v>
      </c>
      <c r="I30" s="13">
        <v>43800</v>
      </c>
      <c r="J30" s="13">
        <v>43435</v>
      </c>
      <c r="K30" s="13">
        <v>43070</v>
      </c>
      <c r="L30" s="13">
        <v>42705</v>
      </c>
      <c r="M30" s="13">
        <f>M1</f>
        <v>42339</v>
      </c>
      <c r="N30" s="13">
        <f>N1</f>
        <v>41974</v>
      </c>
      <c r="O30" s="13">
        <v>41609</v>
      </c>
      <c r="P30" s="13">
        <v>41244</v>
      </c>
      <c r="Q30" s="13">
        <v>40878</v>
      </c>
      <c r="R30" s="13">
        <v>40513</v>
      </c>
      <c r="S30" s="13">
        <v>40148</v>
      </c>
      <c r="T30" s="13">
        <v>39783</v>
      </c>
      <c r="U30" s="13">
        <v>39417</v>
      </c>
      <c r="V30" s="14">
        <v>39052</v>
      </c>
    </row>
    <row r="31" spans="1:29">
      <c r="A31" s="9" t="s">
        <v>40</v>
      </c>
      <c r="B31" s="15">
        <f t="shared" ref="B31:B41" si="3">IFERROR((E31/F31-1), "")</f>
        <v>-4.0219570073798505E-2</v>
      </c>
      <c r="C31" s="119">
        <f>E31-[1]US!C31</f>
        <v>-11781.059999999998</v>
      </c>
      <c r="D31" s="1">
        <f>F31-[1]US!D31</f>
        <v>-13700.220000000001</v>
      </c>
      <c r="E31" s="159">
        <v>110416.02</v>
      </c>
      <c r="F31" s="1">
        <v>115043</v>
      </c>
      <c r="G31" s="1">
        <v>126183.8</v>
      </c>
      <c r="H31" s="1">
        <v>112211.14</v>
      </c>
      <c r="I31" s="100">
        <v>134151</v>
      </c>
      <c r="J31" s="1">
        <v>143174</v>
      </c>
      <c r="K31" s="1">
        <v>125301</v>
      </c>
      <c r="L31" s="1">
        <v>113405</v>
      </c>
      <c r="M31" s="1">
        <v>127966.28</v>
      </c>
      <c r="N31" s="1">
        <v>155205.57999999999</v>
      </c>
      <c r="O31" s="1">
        <v>164909.42000000001</v>
      </c>
      <c r="P31" s="1">
        <v>138255.70000000001</v>
      </c>
      <c r="Q31" s="1">
        <v>160197.56</v>
      </c>
      <c r="R31" s="1">
        <v>150776.32000000001</v>
      </c>
      <c r="S31" s="1">
        <v>168584.68</v>
      </c>
      <c r="T31" s="1">
        <v>131508.94</v>
      </c>
      <c r="U31" s="1">
        <v>148064.32000000001</v>
      </c>
      <c r="V31" s="17">
        <v>116103.2</v>
      </c>
      <c r="Z31" s="1"/>
    </row>
    <row r="32" spans="1:29">
      <c r="A32" s="9" t="s">
        <v>41</v>
      </c>
      <c r="B32" s="15">
        <f t="shared" si="3"/>
        <v>0.95830402152003469</v>
      </c>
      <c r="C32" s="119">
        <f>E32-[1]US!C32</f>
        <v>-5965.4200000000055</v>
      </c>
      <c r="D32" s="1">
        <f>F32-[1]US!D32</f>
        <v>-4778.5400000000009</v>
      </c>
      <c r="E32" s="159">
        <v>42980.7</v>
      </c>
      <c r="F32" s="1">
        <v>21947.919999999998</v>
      </c>
      <c r="G32" s="1">
        <v>32337.54</v>
      </c>
      <c r="H32" s="1">
        <v>30364.66</v>
      </c>
      <c r="I32" s="100">
        <v>27391</v>
      </c>
      <c r="J32" s="1">
        <v>47750</v>
      </c>
      <c r="K32" s="1">
        <v>29987</v>
      </c>
      <c r="L32" s="1">
        <v>43107</v>
      </c>
      <c r="M32" s="1">
        <v>41503.18</v>
      </c>
      <c r="N32" s="1">
        <v>37068.519999999997</v>
      </c>
      <c r="O32" s="1">
        <v>48468</v>
      </c>
      <c r="P32" s="1">
        <v>33828.58</v>
      </c>
      <c r="Q32" s="1">
        <v>52034.48</v>
      </c>
      <c r="R32" s="1">
        <v>32013.16</v>
      </c>
      <c r="S32" s="1">
        <v>42454.720000000001</v>
      </c>
      <c r="T32" s="1">
        <v>45001.4</v>
      </c>
      <c r="U32" s="1">
        <v>32008.959999999999</v>
      </c>
      <c r="V32" s="17">
        <v>44668.4</v>
      </c>
      <c r="Z32" s="1"/>
    </row>
    <row r="33" spans="1:29">
      <c r="A33" s="9" t="s">
        <v>42</v>
      </c>
      <c r="B33" s="15">
        <f t="shared" si="3"/>
        <v>0.11665769997900477</v>
      </c>
      <c r="C33" s="119">
        <f>E33-[1]US!C33</f>
        <v>-1236.9600000000009</v>
      </c>
      <c r="D33" s="1">
        <f>F33-[1]US!D33</f>
        <v>-1383.2399999999998</v>
      </c>
      <c r="E33" s="159">
        <v>13615.72</v>
      </c>
      <c r="F33" s="1">
        <v>12193.28</v>
      </c>
      <c r="G33" s="1">
        <v>14870.16</v>
      </c>
      <c r="H33" s="1">
        <v>12033.64</v>
      </c>
      <c r="I33" s="100">
        <v>16785</v>
      </c>
      <c r="J33" s="1">
        <v>15175</v>
      </c>
      <c r="K33" s="1">
        <v>14231</v>
      </c>
      <c r="L33" s="1">
        <v>13942</v>
      </c>
      <c r="M33" s="1">
        <v>11821.1</v>
      </c>
      <c r="N33" s="1">
        <v>16305.92</v>
      </c>
      <c r="O33" s="1">
        <v>15209.74</v>
      </c>
      <c r="P33" s="1">
        <v>14202.84</v>
      </c>
      <c r="Q33" s="1">
        <v>13572.54</v>
      </c>
      <c r="R33" s="1">
        <v>13855.82</v>
      </c>
      <c r="S33" s="1">
        <v>15108.4</v>
      </c>
      <c r="T33" s="1">
        <v>13169.38</v>
      </c>
      <c r="U33" s="1">
        <v>14292.4</v>
      </c>
      <c r="V33" s="17">
        <v>11508.74</v>
      </c>
      <c r="Y33" s="1"/>
      <c r="Z33" s="1"/>
      <c r="AA33" s="1"/>
      <c r="AB33" s="1"/>
      <c r="AC33" s="1"/>
    </row>
    <row r="34" spans="1:29">
      <c r="A34" s="9" t="s">
        <v>43</v>
      </c>
      <c r="B34" s="15">
        <f t="shared" si="3"/>
        <v>2.3759853954028709</v>
      </c>
      <c r="C34" s="119">
        <f>E34-[1]US!C34</f>
        <v>-793.7</v>
      </c>
      <c r="D34" s="1">
        <f>F34-[1]US!D34</f>
        <v>-896.96</v>
      </c>
      <c r="E34" s="159">
        <v>1627.36</v>
      </c>
      <c r="F34" s="1">
        <v>482.04</v>
      </c>
      <c r="G34" s="1">
        <v>593.86</v>
      </c>
      <c r="H34" s="1">
        <v>706.74</v>
      </c>
      <c r="I34" s="100">
        <v>1675</v>
      </c>
      <c r="J34" s="1">
        <v>2229</v>
      </c>
      <c r="K34" s="1">
        <v>1529</v>
      </c>
      <c r="L34" s="1">
        <v>2399</v>
      </c>
      <c r="M34" s="1">
        <v>1336.08</v>
      </c>
      <c r="N34" s="1">
        <v>2022.64</v>
      </c>
      <c r="O34" s="1">
        <v>3207.88</v>
      </c>
      <c r="P34" s="1">
        <v>1826.48</v>
      </c>
      <c r="Q34" s="1">
        <v>3030.02</v>
      </c>
      <c r="R34" s="1">
        <v>2188.7600000000002</v>
      </c>
      <c r="S34" s="1">
        <v>3228.52</v>
      </c>
      <c r="T34" s="1">
        <v>3194.42</v>
      </c>
      <c r="U34" s="1">
        <v>2467.6999999999998</v>
      </c>
      <c r="V34" s="17">
        <v>2567.6</v>
      </c>
      <c r="Y34" s="1"/>
      <c r="Z34" s="1"/>
      <c r="AA34" s="1"/>
      <c r="AB34" s="1"/>
      <c r="AC34" s="1"/>
    </row>
    <row r="35" spans="1:29">
      <c r="A35" s="92" t="s">
        <v>152</v>
      </c>
      <c r="B35" s="15">
        <f t="shared" si="3"/>
        <v>-0.38604936110624888</v>
      </c>
      <c r="C35" s="119">
        <f>E35-[1]US!C35</f>
        <v>-160.42000000000002</v>
      </c>
      <c r="D35" s="1">
        <f>F35-[1]US!D35</f>
        <v>-179.84</v>
      </c>
      <c r="E35" s="159">
        <v>140.30000000000001</v>
      </c>
      <c r="F35" s="1">
        <v>228.52</v>
      </c>
      <c r="G35" s="1">
        <v>196.18</v>
      </c>
      <c r="H35" s="1">
        <v>130.9</v>
      </c>
      <c r="I35" s="100">
        <v>170</v>
      </c>
      <c r="J35" s="1">
        <v>480</v>
      </c>
      <c r="K35" s="1">
        <v>321</v>
      </c>
      <c r="L35" s="1">
        <v>136</v>
      </c>
      <c r="M35" s="1">
        <v>157.4</v>
      </c>
      <c r="N35" s="1">
        <v>303.92</v>
      </c>
      <c r="O35" s="1">
        <v>429.74</v>
      </c>
      <c r="P35" s="1">
        <v>319.02</v>
      </c>
      <c r="Q35" s="1">
        <v>1293.18</v>
      </c>
      <c r="R35" s="1">
        <v>740.96</v>
      </c>
      <c r="S35" s="1"/>
      <c r="T35" s="1"/>
      <c r="U35" s="1"/>
      <c r="V35" s="17"/>
      <c r="Y35" s="1"/>
      <c r="Z35" s="1"/>
      <c r="AA35" s="1"/>
      <c r="AB35" s="1"/>
      <c r="AC35" s="1"/>
    </row>
    <row r="36" spans="1:29">
      <c r="A36" s="9" t="s">
        <v>44</v>
      </c>
      <c r="B36" s="15">
        <f t="shared" si="3"/>
        <v>-0.51454219030520654</v>
      </c>
      <c r="C36" s="119">
        <f>E36-[1]US!C36</f>
        <v>-324.39999999999998</v>
      </c>
      <c r="D36" s="1">
        <f>F36-[1]US!D36</f>
        <v>-76.239999999999995</v>
      </c>
      <c r="E36" s="159">
        <v>27.04</v>
      </c>
      <c r="F36" s="1">
        <v>55.7</v>
      </c>
      <c r="G36" s="1">
        <v>82</v>
      </c>
      <c r="H36" s="1">
        <v>247.56</v>
      </c>
      <c r="I36" s="1">
        <v>233</v>
      </c>
      <c r="J36" s="1">
        <v>343</v>
      </c>
      <c r="K36" s="1">
        <v>277</v>
      </c>
      <c r="L36" s="1">
        <v>443</v>
      </c>
      <c r="M36" s="1">
        <v>163.38</v>
      </c>
      <c r="N36" s="1">
        <v>239.52</v>
      </c>
      <c r="O36" s="1">
        <v>507.46</v>
      </c>
      <c r="P36" s="1">
        <v>470.78</v>
      </c>
      <c r="Q36" s="1">
        <v>726.22</v>
      </c>
      <c r="R36" s="1">
        <v>361.34</v>
      </c>
      <c r="S36" s="1">
        <v>494.52</v>
      </c>
      <c r="T36" s="1">
        <v>658.92</v>
      </c>
      <c r="U36" s="1">
        <v>406.42</v>
      </c>
      <c r="V36" s="17">
        <v>498.7</v>
      </c>
      <c r="Y36" s="1"/>
      <c r="Z36" s="1"/>
      <c r="AA36" s="1"/>
      <c r="AB36" s="1"/>
      <c r="AC36" s="1"/>
    </row>
    <row r="37" spans="1:29">
      <c r="A37" s="9" t="s">
        <v>164</v>
      </c>
      <c r="B37" s="15">
        <f t="shared" si="3"/>
        <v>3.7304310220556429</v>
      </c>
      <c r="C37" s="119">
        <f>E37-[1]US!C37</f>
        <v>-194.94000000000005</v>
      </c>
      <c r="D37" s="1">
        <f>F37-[1]US!D37</f>
        <v>-115.44</v>
      </c>
      <c r="E37" s="159">
        <v>656.3</v>
      </c>
      <c r="F37" s="1">
        <v>138.74</v>
      </c>
      <c r="G37" s="1">
        <v>450.6</v>
      </c>
      <c r="H37" s="1">
        <v>291.72000000000003</v>
      </c>
      <c r="I37" s="1">
        <v>534</v>
      </c>
      <c r="J37" s="1">
        <v>644</v>
      </c>
      <c r="K37" s="1">
        <v>160</v>
      </c>
      <c r="L37" s="1">
        <v>598</v>
      </c>
      <c r="M37" s="1">
        <v>104.7</v>
      </c>
      <c r="N37" s="1"/>
      <c r="O37" s="1"/>
      <c r="P37" s="1"/>
      <c r="Q37" s="1"/>
      <c r="R37" s="1"/>
      <c r="S37" s="1"/>
      <c r="T37" s="1"/>
      <c r="U37" s="1"/>
      <c r="V37" s="17"/>
      <c r="Y37" s="1"/>
      <c r="Z37" s="1"/>
      <c r="AA37" s="1"/>
      <c r="AB37" s="1"/>
      <c r="AC37" s="1"/>
    </row>
    <row r="38" spans="1:29">
      <c r="A38" s="9" t="s">
        <v>45</v>
      </c>
      <c r="B38" s="15" t="str">
        <f t="shared" si="3"/>
        <v/>
      </c>
      <c r="C38" s="119">
        <f>E38-[1]US!C38</f>
        <v>0</v>
      </c>
      <c r="D38" s="1">
        <f>F38-[1]US!D38</f>
        <v>0</v>
      </c>
      <c r="E38" s="159"/>
      <c r="F38" s="1"/>
      <c r="G38" s="1"/>
      <c r="H38" s="1"/>
      <c r="I38" s="1"/>
      <c r="J38" s="1"/>
      <c r="K38" s="1"/>
      <c r="L38" s="1"/>
      <c r="M38" s="1"/>
      <c r="N38" s="1"/>
      <c r="O38" s="1">
        <v>82.06</v>
      </c>
      <c r="P38" s="1">
        <v>233.14</v>
      </c>
      <c r="Q38" s="1">
        <v>146.52000000000001</v>
      </c>
      <c r="R38" s="1">
        <v>110.26</v>
      </c>
      <c r="S38" s="1">
        <v>237.22</v>
      </c>
      <c r="T38" s="1">
        <v>409.2</v>
      </c>
      <c r="U38" s="1">
        <v>295.72000000000003</v>
      </c>
      <c r="V38" s="17">
        <v>315.38</v>
      </c>
      <c r="Y38" s="1"/>
      <c r="Z38" s="1"/>
      <c r="AA38" s="1"/>
      <c r="AB38" s="1"/>
      <c r="AC38" s="1"/>
    </row>
    <row r="39" spans="1:29">
      <c r="A39" s="9" t="s">
        <v>47</v>
      </c>
      <c r="B39" s="15">
        <f t="shared" si="3"/>
        <v>-0.12155991993995496</v>
      </c>
      <c r="C39" s="119">
        <f>E39-[1]US!C39</f>
        <v>-93.040000000000077</v>
      </c>
      <c r="D39" s="1">
        <f>F39-[1]US!D39</f>
        <v>-157.51999999999998</v>
      </c>
      <c r="E39" s="159">
        <v>561.78</v>
      </c>
      <c r="F39" s="1">
        <v>639.52</v>
      </c>
      <c r="G39" s="1">
        <v>33.5</v>
      </c>
      <c r="H39" s="1">
        <v>176.04</v>
      </c>
      <c r="I39" s="1">
        <v>168</v>
      </c>
      <c r="J39" s="1">
        <v>304</v>
      </c>
      <c r="K39" s="1">
        <v>246</v>
      </c>
      <c r="L39" s="1">
        <v>270</v>
      </c>
      <c r="M39" s="1">
        <v>338.72</v>
      </c>
      <c r="N39" s="1">
        <v>1008.9</v>
      </c>
      <c r="O39" s="1">
        <v>568.76</v>
      </c>
      <c r="P39" s="1">
        <v>1233.92</v>
      </c>
      <c r="Q39" s="1">
        <v>532.20000000000005</v>
      </c>
      <c r="R39" s="1">
        <v>856.74</v>
      </c>
      <c r="S39" s="1">
        <v>1527.52</v>
      </c>
      <c r="T39" s="1">
        <v>2082.04</v>
      </c>
      <c r="U39" s="1">
        <v>2051.1</v>
      </c>
      <c r="V39" s="17">
        <v>1989.76</v>
      </c>
      <c r="Y39" s="1"/>
      <c r="Z39" s="1"/>
      <c r="AA39" s="1"/>
      <c r="AB39" s="1"/>
      <c r="AC39" s="1"/>
    </row>
    <row r="40" spans="1:29" ht="13.8" thickBot="1">
      <c r="A40" s="18" t="s">
        <v>46</v>
      </c>
      <c r="B40" s="16">
        <f t="shared" si="3"/>
        <v>0.39646410380015906</v>
      </c>
      <c r="C40" s="121">
        <f>E40-[1]US!C40</f>
        <v>-18901</v>
      </c>
      <c r="D40" s="7">
        <f>F40-[1]US!D40</f>
        <v>-15080.580000000002</v>
      </c>
      <c r="E40" s="160">
        <v>38470.239999999998</v>
      </c>
      <c r="F40" s="7">
        <v>27548.32</v>
      </c>
      <c r="G40" s="7">
        <v>33000.36</v>
      </c>
      <c r="H40" s="7">
        <v>28209.22</v>
      </c>
      <c r="I40" s="7">
        <v>25291</v>
      </c>
      <c r="J40" s="7">
        <v>34531</v>
      </c>
      <c r="K40" s="7">
        <v>20128</v>
      </c>
      <c r="L40" s="1">
        <v>28844</v>
      </c>
      <c r="M40" s="7">
        <v>16906.419999999998</v>
      </c>
      <c r="N40" s="7">
        <v>22945.34</v>
      </c>
      <c r="O40" s="7">
        <v>29529.279999999999</v>
      </c>
      <c r="P40" s="7">
        <v>22273.42</v>
      </c>
      <c r="Q40" s="7">
        <v>21053.08</v>
      </c>
      <c r="R40" s="7">
        <v>20500.419999999998</v>
      </c>
      <c r="S40" s="7">
        <v>24953.9</v>
      </c>
      <c r="T40" s="7">
        <v>19397.32</v>
      </c>
      <c r="U40" s="7">
        <v>20696</v>
      </c>
      <c r="V40" s="23">
        <v>15160</v>
      </c>
      <c r="Y40" s="1"/>
      <c r="Z40" s="1"/>
      <c r="AA40" s="1"/>
      <c r="AB40" s="1"/>
      <c r="AC40" s="1"/>
    </row>
    <row r="41" spans="1:29" ht="13.8" thickBot="1">
      <c r="A41" s="19" t="s">
        <v>22</v>
      </c>
      <c r="B41" s="20">
        <f t="shared" si="3"/>
        <v>0.16950258990164957</v>
      </c>
      <c r="C41" s="122">
        <f>E41-[1]US!C41</f>
        <v>-39450.940000000031</v>
      </c>
      <c r="D41" s="21">
        <f>F41-[1]US!D41</f>
        <v>-36368.579999999987</v>
      </c>
      <c r="E41" s="161">
        <f t="shared" ref="E41:J41" si="4">SUM(E31:E40)</f>
        <v>208495.45999999996</v>
      </c>
      <c r="F41" s="21">
        <f t="shared" si="4"/>
        <v>178277.03999999998</v>
      </c>
      <c r="G41" s="21">
        <f t="shared" si="4"/>
        <v>207748</v>
      </c>
      <c r="H41" s="21">
        <f t="shared" si="4"/>
        <v>184371.62</v>
      </c>
      <c r="I41" s="21">
        <f t="shared" si="4"/>
        <v>206398</v>
      </c>
      <c r="J41" s="21">
        <f t="shared" si="4"/>
        <v>244630</v>
      </c>
      <c r="K41" s="21">
        <v>192180</v>
      </c>
      <c r="L41" s="101">
        <f>SUM(L31:L40)</f>
        <v>203144</v>
      </c>
      <c r="M41" s="21">
        <f>SUM(M31:M40)</f>
        <v>200297.26</v>
      </c>
      <c r="N41" s="21">
        <f>SUM(N31:N40)</f>
        <v>235100.34</v>
      </c>
      <c r="O41" s="21">
        <f t="shared" ref="O41:V41" si="5">SUM(O31:O40)</f>
        <v>262912.33999999997</v>
      </c>
      <c r="P41" s="21">
        <f t="shared" si="5"/>
        <v>212643.88000000006</v>
      </c>
      <c r="Q41" s="21">
        <f t="shared" si="5"/>
        <v>252585.8</v>
      </c>
      <c r="R41" s="21">
        <f t="shared" si="5"/>
        <v>221403.78000000003</v>
      </c>
      <c r="S41" s="21">
        <f t="shared" si="5"/>
        <v>256589.47999999995</v>
      </c>
      <c r="T41" s="21">
        <f t="shared" si="5"/>
        <v>215421.62000000005</v>
      </c>
      <c r="U41" s="21">
        <f t="shared" si="5"/>
        <v>220282.62000000002</v>
      </c>
      <c r="V41" s="24">
        <f t="shared" si="5"/>
        <v>192811.78000000003</v>
      </c>
      <c r="Y41" s="1"/>
      <c r="Z41" s="1"/>
      <c r="AA41" s="1"/>
      <c r="AB41" s="1"/>
      <c r="AC41" s="1"/>
    </row>
    <row r="42" spans="1:29" s="1" customFormat="1">
      <c r="A42" s="1" t="s">
        <v>165</v>
      </c>
      <c r="F42" s="154"/>
      <c r="G42" s="155"/>
    </row>
    <row r="43" spans="1:29">
      <c r="Y43" s="1"/>
      <c r="Z43" s="1"/>
      <c r="AA43" s="1"/>
      <c r="AB43" s="1"/>
      <c r="AC43" s="1"/>
    </row>
    <row r="48" spans="1:29" ht="17.399999999999999">
      <c r="U48" s="4"/>
      <c r="V48" s="1"/>
      <c r="W48" s="1"/>
    </row>
    <row r="49" spans="4:23" ht="17.399999999999999" hidden="1">
      <c r="D49" s="153">
        <v>144414701</v>
      </c>
      <c r="E49" s="153"/>
      <c r="F49" s="155">
        <f>D49*42*0.453592</f>
        <v>2751224828.3516641</v>
      </c>
      <c r="U49" s="4"/>
      <c r="V49" s="1"/>
      <c r="W49" s="1"/>
    </row>
    <row r="50" spans="4:23" ht="17.399999999999999" hidden="1">
      <c r="D50" s="1">
        <v>100179411</v>
      </c>
      <c r="E50" s="1"/>
      <c r="F50" s="155">
        <f>D50*42*0.45359237</f>
        <v>1908505891.3491511</v>
      </c>
      <c r="U50" s="4"/>
      <c r="V50" s="1"/>
      <c r="W50" s="1"/>
    </row>
    <row r="51" spans="4:23" ht="17.399999999999999" hidden="1">
      <c r="D51" s="153">
        <v>1464908</v>
      </c>
      <c r="E51" s="153"/>
      <c r="F51" s="155">
        <f>D51*42*0.453592</f>
        <v>27907763.080511998</v>
      </c>
      <c r="U51" s="4"/>
      <c r="V51" s="1"/>
      <c r="W51" s="1"/>
    </row>
    <row r="52" spans="4:23" ht="17.399999999999999" hidden="1">
      <c r="U52" s="4"/>
      <c r="V52" s="1"/>
      <c r="W52" s="1"/>
    </row>
    <row r="53" spans="4:23" ht="17.399999999999999">
      <c r="U53" s="4"/>
      <c r="V53" s="1"/>
      <c r="W53" s="1"/>
    </row>
    <row r="54" spans="4:23" ht="17.399999999999999">
      <c r="U54" s="4"/>
      <c r="V54" s="1"/>
      <c r="W54" s="1"/>
    </row>
    <row r="55" spans="4:23" ht="17.399999999999999">
      <c r="U55" s="4"/>
      <c r="V55" s="1"/>
      <c r="W55" s="1"/>
    </row>
    <row r="56" spans="4:23" ht="17.399999999999999">
      <c r="U56" s="4"/>
      <c r="V56" s="1"/>
      <c r="W56" s="1"/>
    </row>
    <row r="57" spans="4:23" ht="17.399999999999999">
      <c r="U57" s="4"/>
      <c r="V57" s="1"/>
      <c r="W57" s="1"/>
    </row>
    <row r="58" spans="4:23" ht="17.399999999999999">
      <c r="U58" s="5"/>
      <c r="V58" s="1"/>
      <c r="W58" s="1"/>
    </row>
    <row r="59" spans="4:23" ht="18">
      <c r="U59" s="6"/>
      <c r="V59" s="2"/>
      <c r="W59" s="2"/>
    </row>
  </sheetData>
  <pageMargins left="0.75" right="0.75" top="1" bottom="1" header="0.5" footer="0.5"/>
  <pageSetup paperSize="9" orientation="landscape"/>
  <headerFooter alignWithMargins="0"/>
  <ignoredErrors>
    <ignoredError sqref="G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0"/>
  <sheetViews>
    <sheetView tabSelected="1" zoomScaleNormal="100" workbookViewId="0"/>
  </sheetViews>
  <sheetFormatPr defaultColWidth="9.109375" defaultRowHeight="13.2"/>
  <cols>
    <col min="1" max="1" width="21.6640625" style="26" customWidth="1"/>
    <col min="2" max="2" width="10.6640625" style="26" customWidth="1"/>
    <col min="3" max="3" width="11.44140625" style="26" bestFit="1" customWidth="1"/>
    <col min="4" max="4" width="13.33203125" style="26" bestFit="1" customWidth="1"/>
    <col min="5" max="11" width="11.44140625" style="26" customWidth="1"/>
    <col min="12" max="12" width="10.6640625" style="26" customWidth="1"/>
    <col min="13" max="22" width="10.109375" style="26" bestFit="1" customWidth="1"/>
    <col min="23" max="23" width="9.109375" style="26"/>
    <col min="24" max="24" width="21.6640625" style="26" customWidth="1"/>
    <col min="25" max="25" width="11.44140625" style="26" customWidth="1"/>
    <col min="26" max="16384" width="9.109375" style="26"/>
  </cols>
  <sheetData>
    <row r="1" spans="1:27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43">
        <v>42339</v>
      </c>
      <c r="N1" s="43">
        <v>41974</v>
      </c>
      <c r="O1" s="43">
        <v>41609</v>
      </c>
      <c r="P1" s="43">
        <v>41244</v>
      </c>
      <c r="Q1" s="43">
        <v>40878</v>
      </c>
      <c r="R1" s="43">
        <v>40513</v>
      </c>
      <c r="S1" s="43">
        <v>40148</v>
      </c>
      <c r="T1" s="43">
        <v>39783</v>
      </c>
      <c r="U1" s="28">
        <v>39417</v>
      </c>
      <c r="V1" s="44">
        <v>39052</v>
      </c>
      <c r="X1" s="45"/>
      <c r="Y1" s="45"/>
      <c r="Z1" s="46"/>
      <c r="AA1" s="46"/>
    </row>
    <row r="2" spans="1:27">
      <c r="A2" s="47" t="s">
        <v>7</v>
      </c>
      <c r="B2" s="51">
        <f>IFERROR((E2/F2-1), "")</f>
        <v>-0.23717041517971948</v>
      </c>
      <c r="C2" s="132">
        <f>E2-'[1]EU - country'!C2</f>
        <v>-7405.9045026510576</v>
      </c>
      <c r="D2" s="85">
        <f>F2-'[1]EU - country'!D2</f>
        <v>-9091.6136133037508</v>
      </c>
      <c r="E2" s="162">
        <f>Austria!E$21</f>
        <v>92742.706608460037</v>
      </c>
      <c r="F2" s="85">
        <f>Austria!F$21</f>
        <v>121577.22832722834</v>
      </c>
      <c r="G2" s="85">
        <f>Austria!G$21</f>
        <v>97808.134920634926</v>
      </c>
      <c r="H2" s="85">
        <f>Austria!H$21</f>
        <v>93104.699999999983</v>
      </c>
      <c r="I2" s="85">
        <f>Austria!I$21</f>
        <v>97417</v>
      </c>
      <c r="J2" s="85">
        <v>115430</v>
      </c>
      <c r="K2" s="85">
        <v>63153</v>
      </c>
      <c r="L2" s="48">
        <f>Austria!L$21</f>
        <v>31152.880000000005</v>
      </c>
      <c r="M2" s="48">
        <f>Austria!M$21</f>
        <v>131431.32</v>
      </c>
      <c r="N2" s="48">
        <f>Austria!N$21</f>
        <v>134739.32</v>
      </c>
      <c r="O2" s="48">
        <f>Austria!O$21</f>
        <v>122136</v>
      </c>
      <c r="P2" s="48">
        <f>Austria!P$21</f>
        <v>116061</v>
      </c>
      <c r="Q2" s="48">
        <f>Austria!Q$21</f>
        <v>0</v>
      </c>
      <c r="R2" s="48">
        <f>Austria!R$21</f>
        <v>144302</v>
      </c>
      <c r="S2" s="48">
        <f>Austria!S$21</f>
        <v>144830</v>
      </c>
      <c r="T2" s="48">
        <v>128461</v>
      </c>
      <c r="U2" s="48">
        <v>131666</v>
      </c>
      <c r="V2" s="49">
        <v>115283</v>
      </c>
      <c r="Z2" s="31"/>
      <c r="AA2" s="31"/>
    </row>
    <row r="3" spans="1:27">
      <c r="A3" s="50" t="s">
        <v>140</v>
      </c>
      <c r="B3" s="51">
        <f t="shared" ref="B3:B16" si="0">IFERROR((E3/F3-1), "")</f>
        <v>8.4456276775591199E-2</v>
      </c>
      <c r="C3" s="132">
        <f>E3-'[1]EU - country'!C3</f>
        <v>-24257.873371466427</v>
      </c>
      <c r="D3" s="85">
        <f>F3-'[1]EU - country'!D3</f>
        <v>-23412.892519319081</v>
      </c>
      <c r="E3" s="162">
        <f>Belgium!E$10</f>
        <v>129829.90113818999</v>
      </c>
      <c r="F3" s="85">
        <f>Belgium!F$10</f>
        <v>119718.8894735458</v>
      </c>
      <c r="G3" s="85">
        <f>Belgium!G$10</f>
        <v>168195</v>
      </c>
      <c r="H3" s="85">
        <f>Belgium!H$10</f>
        <v>91733</v>
      </c>
      <c r="I3" s="85">
        <f>Belgium!I$10</f>
        <v>171317</v>
      </c>
      <c r="J3" s="85">
        <v>187712</v>
      </c>
      <c r="K3" s="85">
        <v>33761</v>
      </c>
      <c r="L3" s="31">
        <f>Belgium!L$10</f>
        <v>135162</v>
      </c>
      <c r="M3" s="31">
        <f>Belgium!M$10</f>
        <v>199542</v>
      </c>
      <c r="N3" s="31">
        <f>Belgium!N$10</f>
        <v>207617</v>
      </c>
      <c r="O3" s="31">
        <f>Belgium!O$10</f>
        <v>149510</v>
      </c>
      <c r="P3" s="31">
        <f>Belgium!P$10</f>
        <v>131265</v>
      </c>
      <c r="Q3" s="31">
        <f>Belgium!Q$10</f>
        <v>138040</v>
      </c>
      <c r="R3" s="31">
        <f>Belgium!R$10</f>
        <v>122500</v>
      </c>
      <c r="S3" s="31">
        <f>Belgium!S$10</f>
        <v>170000</v>
      </c>
      <c r="T3" s="31">
        <v>207300</v>
      </c>
      <c r="U3" s="31">
        <v>182600</v>
      </c>
      <c r="V3" s="32">
        <v>192800</v>
      </c>
      <c r="Z3" s="31"/>
      <c r="AA3" s="31"/>
    </row>
    <row r="4" spans="1:27">
      <c r="A4" s="50" t="s">
        <v>30</v>
      </c>
      <c r="B4" s="51">
        <f t="shared" si="0"/>
        <v>-0.31554993288797695</v>
      </c>
      <c r="C4" s="132">
        <f>E4-'[1]EU - country'!C4</f>
        <v>-2467</v>
      </c>
      <c r="D4" s="85">
        <f>F4-'[1]EU - country'!D4</f>
        <v>1302</v>
      </c>
      <c r="E4" s="162">
        <f>'Czech Republic'!E$12</f>
        <v>44364</v>
      </c>
      <c r="F4" s="85">
        <f>'Czech Republic'!F$12</f>
        <v>64817</v>
      </c>
      <c r="G4" s="85">
        <f>'Czech Republic'!G$12</f>
        <v>52863</v>
      </c>
      <c r="H4" s="85">
        <f>'Czech Republic'!H$12</f>
        <v>54977</v>
      </c>
      <c r="I4" s="85">
        <f>'Czech Republic'!I$12</f>
        <v>40703</v>
      </c>
      <c r="J4" s="85">
        <v>66199</v>
      </c>
      <c r="K4" s="85">
        <v>41155</v>
      </c>
      <c r="L4" s="31">
        <f>'Czech Republic'!L$12</f>
        <v>42616</v>
      </c>
      <c r="M4" s="31">
        <f>'Czech Republic'!M$12</f>
        <v>55781</v>
      </c>
      <c r="N4" s="31">
        <f>'Czech Republic'!N$12</f>
        <v>49757</v>
      </c>
      <c r="O4" s="31">
        <f>'Czech Republic'!O$12</f>
        <v>39379</v>
      </c>
      <c r="P4" s="31">
        <f>'Czech Republic'!P$12</f>
        <v>38566</v>
      </c>
      <c r="Q4" s="31">
        <f>'Czech Republic'!Q$12</f>
        <v>26224</v>
      </c>
      <c r="R4" s="31">
        <f>'Czech Republic'!R$12</f>
        <v>29695</v>
      </c>
      <c r="S4" s="31">
        <f>'Czech Republic'!S$12</f>
        <v>42697</v>
      </c>
      <c r="T4" s="31">
        <v>48667</v>
      </c>
      <c r="U4" s="31">
        <v>31931</v>
      </c>
      <c r="V4" s="32">
        <v>39169</v>
      </c>
      <c r="Z4" s="31"/>
      <c r="AA4" s="31"/>
    </row>
    <row r="5" spans="1:27">
      <c r="A5" s="50" t="s">
        <v>39</v>
      </c>
      <c r="B5" s="51">
        <f t="shared" si="0"/>
        <v>-0.18444280985656492</v>
      </c>
      <c r="C5" s="132">
        <f>E5-'[1]EU - country'!C5</f>
        <v>-2365</v>
      </c>
      <c r="D5" s="85">
        <f>F5-'[1]EU - country'!D5</f>
        <v>-2741</v>
      </c>
      <c r="E5" s="162">
        <f>Denmark!E$20</f>
        <v>8870</v>
      </c>
      <c r="F5" s="85">
        <f>Denmark!F$20</f>
        <v>10876</v>
      </c>
      <c r="G5" s="85">
        <f>Denmark!G$20</f>
        <v>11125</v>
      </c>
      <c r="H5" s="85">
        <f>Denmark!H$20</f>
        <v>6675</v>
      </c>
      <c r="I5" s="85">
        <f>Denmark!I$20</f>
        <v>9166</v>
      </c>
      <c r="J5" s="85">
        <v>14796</v>
      </c>
      <c r="K5" s="85">
        <v>7880</v>
      </c>
      <c r="L5" s="31">
        <f>Denmark!L$20</f>
        <v>13556</v>
      </c>
      <c r="M5" s="31">
        <f>Denmark!M$20</f>
        <v>12287</v>
      </c>
      <c r="N5" s="31">
        <f>Denmark!N$20</f>
        <v>11281</v>
      </c>
      <c r="O5" s="31">
        <f>Denmark!O$20</f>
        <v>11105</v>
      </c>
      <c r="P5" s="31">
        <f>Denmark!P$20</f>
        <v>7794</v>
      </c>
      <c r="Q5" s="31">
        <f>Denmark!Q$20</f>
        <v>9979</v>
      </c>
      <c r="R5" s="31">
        <f>Denmark!R$20</f>
        <v>8558</v>
      </c>
      <c r="S5" s="31">
        <f>Denmark!S$20</f>
        <v>10437</v>
      </c>
      <c r="T5" s="31">
        <v>13336</v>
      </c>
      <c r="U5" s="31">
        <v>9863</v>
      </c>
      <c r="V5" s="32">
        <v>8258</v>
      </c>
      <c r="Y5" s="31"/>
      <c r="Z5" s="31"/>
      <c r="AA5" s="31"/>
    </row>
    <row r="6" spans="1:27">
      <c r="A6" s="29" t="s">
        <v>20</v>
      </c>
      <c r="B6" s="51">
        <f t="shared" si="0"/>
        <v>0.12319081631372164</v>
      </c>
      <c r="C6" s="132">
        <f>E6-'[1]EU - country'!C6</f>
        <v>715814</v>
      </c>
      <c r="D6" s="85">
        <f>F6-'[1]EU - country'!D6</f>
        <v>-105768</v>
      </c>
      <c r="E6" s="162">
        <f>France!E$26</f>
        <v>715814</v>
      </c>
      <c r="F6" s="85">
        <f>France!F$26</f>
        <v>637304</v>
      </c>
      <c r="G6" s="85">
        <f>France!G$26</f>
        <v>692608</v>
      </c>
      <c r="H6" s="85">
        <f>France!H$26</f>
        <v>650624</v>
      </c>
      <c r="I6" s="85">
        <f>France!I$26</f>
        <v>783522</v>
      </c>
      <c r="J6" s="85">
        <v>670544</v>
      </c>
      <c r="K6" s="85">
        <v>634624</v>
      </c>
      <c r="L6" s="31">
        <f>France!L$26</f>
        <v>618910</v>
      </c>
      <c r="M6" s="31">
        <f>France!M$26</f>
        <v>659900</v>
      </c>
      <c r="N6" s="31">
        <f>France!N$26</f>
        <v>588688</v>
      </c>
      <c r="O6" s="31">
        <f>France!O$26</f>
        <v>683677</v>
      </c>
      <c r="P6" s="31">
        <f>France!P$26</f>
        <v>416465</v>
      </c>
      <c r="Q6" s="31">
        <f>France!Q$26</f>
        <v>648826</v>
      </c>
      <c r="R6" s="31">
        <f>France!R$26</f>
        <v>639091</v>
      </c>
      <c r="S6" s="31">
        <f>France!S$26</f>
        <v>659972</v>
      </c>
      <c r="T6" s="31">
        <v>508982</v>
      </c>
      <c r="U6" s="31"/>
      <c r="V6" s="32"/>
      <c r="Z6" s="31"/>
      <c r="AA6" s="31"/>
    </row>
    <row r="7" spans="1:27">
      <c r="A7" s="50" t="s">
        <v>27</v>
      </c>
      <c r="B7" s="51">
        <f t="shared" si="0"/>
        <v>-0.18957243146350666</v>
      </c>
      <c r="C7" s="132">
        <f>E7-'[1]EU - country'!C7</f>
        <v>-32165</v>
      </c>
      <c r="D7" s="85">
        <f>F7-'[1]EU - country'!D7</f>
        <v>-46806</v>
      </c>
      <c r="E7" s="162">
        <f>Germany!E$21</f>
        <v>313770</v>
      </c>
      <c r="F7" s="85">
        <f>Germany!F$21</f>
        <v>387166</v>
      </c>
      <c r="G7" s="85">
        <f>Germany!G$21</f>
        <v>351306</v>
      </c>
      <c r="H7" s="85">
        <f>Germany!H$21</f>
        <v>338942</v>
      </c>
      <c r="I7" s="85">
        <f>Germany!I$21</f>
        <v>343034</v>
      </c>
      <c r="J7" s="85">
        <v>413686</v>
      </c>
      <c r="K7" s="85">
        <v>225768</v>
      </c>
      <c r="L7" s="31">
        <f>Germany!L$21</f>
        <v>400338</v>
      </c>
      <c r="M7" s="31">
        <f>Germany!M$21</f>
        <v>385050</v>
      </c>
      <c r="N7" s="31">
        <f>Germany!N$21</f>
        <v>419117</v>
      </c>
      <c r="O7" s="31">
        <f>Germany!O$21</f>
        <v>308154</v>
      </c>
      <c r="P7" s="31">
        <f>Germany!P$21</f>
        <v>376051</v>
      </c>
      <c r="Q7" s="31">
        <f>Germany!Q$21</f>
        <v>390309</v>
      </c>
      <c r="R7" s="31">
        <f>Germany!R$21</f>
        <v>313492</v>
      </c>
      <c r="S7" s="31">
        <f>Germany!S$21</f>
        <v>417232</v>
      </c>
      <c r="T7" s="31">
        <v>361111</v>
      </c>
      <c r="U7" s="31">
        <v>344040</v>
      </c>
      <c r="V7" s="32">
        <v>326018</v>
      </c>
      <c r="Z7" s="31"/>
      <c r="AA7" s="31"/>
    </row>
    <row r="8" spans="1:27">
      <c r="A8" s="50" t="s">
        <v>15</v>
      </c>
      <c r="B8" s="51">
        <f t="shared" si="0"/>
        <v>4.0675870033155759E-2</v>
      </c>
      <c r="C8" s="132">
        <f>E8-'[1]EU - country'!C8</f>
        <v>-61794.07907396066</v>
      </c>
      <c r="D8" s="85">
        <f>F8-'[1]EU - country'!D8</f>
        <v>-122681.67143473774</v>
      </c>
      <c r="E8" s="162">
        <f>Italy!E$20</f>
        <v>1380125.7278411819</v>
      </c>
      <c r="F8" s="85">
        <f>Italy!F$20</f>
        <v>1326182.1164328633</v>
      </c>
      <c r="G8" s="85">
        <f>Italy!G$20</f>
        <v>1357556.4518311606</v>
      </c>
      <c r="H8" s="85">
        <f>Italy!H$20</f>
        <v>1364134.9950000001</v>
      </c>
      <c r="I8" s="85">
        <f>Italy!I$20</f>
        <v>1349020</v>
      </c>
      <c r="J8" s="85">
        <v>1491242</v>
      </c>
      <c r="K8" s="85">
        <v>1007499</v>
      </c>
      <c r="L8" s="31">
        <f>Italy!L$20</f>
        <v>1487735.7000000002</v>
      </c>
      <c r="M8" s="31">
        <f>Italy!M$20</f>
        <v>1494682.91</v>
      </c>
      <c r="N8" s="31">
        <f>Italy!N$20</f>
        <v>1601128</v>
      </c>
      <c r="O8" s="31">
        <f>Italy!O$20</f>
        <v>1407093</v>
      </c>
      <c r="P8" s="31">
        <f>Italy!P$20</f>
        <v>1215407</v>
      </c>
      <c r="Q8" s="31">
        <f>Italy!Q$20</f>
        <v>1423375</v>
      </c>
      <c r="R8" s="31">
        <f>Italy!R$20</f>
        <v>1442097</v>
      </c>
      <c r="S8" s="31">
        <f>Italy!S$20</f>
        <v>1453791.7800000003</v>
      </c>
      <c r="T8" s="31">
        <v>1399479.5249999999</v>
      </c>
      <c r="U8" s="31">
        <v>1298109.0249999999</v>
      </c>
      <c r="V8" s="32">
        <v>1197785</v>
      </c>
      <c r="Z8" s="31"/>
      <c r="AA8" s="31"/>
    </row>
    <row r="9" spans="1:27">
      <c r="A9" s="29" t="s">
        <v>31</v>
      </c>
      <c r="B9" s="51">
        <f t="shared" si="0"/>
        <v>-0.13732394366197187</v>
      </c>
      <c r="C9" s="132"/>
      <c r="D9" s="85"/>
      <c r="E9" s="162">
        <f>Poland!E$18</f>
        <v>1225000</v>
      </c>
      <c r="F9" s="85">
        <f>Poland!F$18</f>
        <v>1420000</v>
      </c>
      <c r="G9" s="85">
        <f>Poland!G$18</f>
        <v>1695000</v>
      </c>
      <c r="H9" s="85">
        <f>Poland!H$18</f>
        <v>1600000</v>
      </c>
      <c r="I9" s="85">
        <f>Poland!I$18</f>
        <v>1127000</v>
      </c>
      <c r="J9" s="85">
        <v>1705000</v>
      </c>
      <c r="K9" s="85">
        <v>1039000</v>
      </c>
      <c r="L9" s="31">
        <f>Poland!L$18</f>
        <v>1460000</v>
      </c>
      <c r="M9" s="31">
        <f>Poland!M$18</f>
        <v>1501000</v>
      </c>
      <c r="N9" s="31">
        <f>Poland!N$18</f>
        <v>1466000</v>
      </c>
      <c r="O9" s="31">
        <f>Poland!O$18</f>
        <v>1243000</v>
      </c>
      <c r="P9" s="31">
        <f>Poland!P$18</f>
        <v>1208000</v>
      </c>
      <c r="Q9" s="31">
        <f>Poland!Q$18</f>
        <v>1057000</v>
      </c>
      <c r="R9" s="31">
        <f>Poland!R$18</f>
        <v>450000</v>
      </c>
      <c r="S9" s="31">
        <f>Poland!S$18</f>
        <v>700000</v>
      </c>
      <c r="T9" s="31">
        <v>650000</v>
      </c>
      <c r="U9" s="31">
        <v>380000</v>
      </c>
      <c r="V9" s="32">
        <v>500000</v>
      </c>
      <c r="Z9" s="31"/>
      <c r="AA9" s="31"/>
    </row>
    <row r="10" spans="1:27" hidden="1">
      <c r="A10" s="29" t="s">
        <v>148</v>
      </c>
      <c r="B10" s="51" t="str">
        <f t="shared" si="0"/>
        <v/>
      </c>
      <c r="C10" s="132">
        <f>E10-'[1]EU - country'!C10</f>
        <v>0</v>
      </c>
      <c r="D10" s="85">
        <f>F10-'[1]EU - country'!D10</f>
        <v>0</v>
      </c>
      <c r="E10" s="162"/>
      <c r="F10" s="85"/>
      <c r="G10" s="85"/>
      <c r="H10" s="85">
        <f>Portugal!H$9</f>
        <v>0</v>
      </c>
      <c r="I10" s="85">
        <f>Portugal!I$9</f>
        <v>0</v>
      </c>
      <c r="J10" s="85">
        <v>0</v>
      </c>
      <c r="K10" s="85">
        <v>0</v>
      </c>
      <c r="L10" s="31">
        <f>Portugal!L$9</f>
        <v>0</v>
      </c>
      <c r="M10" s="31">
        <f>Portugal!M$9</f>
        <v>0</v>
      </c>
      <c r="N10" s="31">
        <f>Portugal!N$9</f>
        <v>0</v>
      </c>
      <c r="O10" s="31">
        <f>Portugal!Q$9</f>
        <v>0</v>
      </c>
      <c r="P10" s="31">
        <f>Portugal!R$9</f>
        <v>0</v>
      </c>
      <c r="Q10" s="31">
        <f>Portugal!S$9</f>
        <v>0</v>
      </c>
      <c r="R10" s="31">
        <f>Portugal!T$9</f>
        <v>0</v>
      </c>
      <c r="S10" s="31">
        <f>Portugal!U$9</f>
        <v>0</v>
      </c>
      <c r="T10" s="31">
        <v>0</v>
      </c>
      <c r="U10" s="31">
        <v>0</v>
      </c>
      <c r="V10" s="32">
        <v>0</v>
      </c>
      <c r="Z10" s="31"/>
      <c r="AA10" s="31"/>
    </row>
    <row r="11" spans="1:27" hidden="1">
      <c r="A11" s="29" t="s">
        <v>175</v>
      </c>
      <c r="B11" s="51" t="str">
        <f t="shared" si="0"/>
        <v/>
      </c>
      <c r="C11" s="132">
        <f>E11-'[1]EU - country'!C11</f>
        <v>-12745.39</v>
      </c>
      <c r="D11" s="85">
        <f>F11-'[1]EU - country'!D11</f>
        <v>0</v>
      </c>
      <c r="E11" s="162"/>
      <c r="F11" s="85"/>
      <c r="G11" s="85"/>
      <c r="H11" s="85"/>
      <c r="I11" s="85"/>
      <c r="J11" s="85"/>
      <c r="K11" s="85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Z11" s="31"/>
      <c r="AA11" s="31"/>
    </row>
    <row r="12" spans="1:27">
      <c r="A12" s="50" t="s">
        <v>36</v>
      </c>
      <c r="B12" s="51">
        <f t="shared" si="0"/>
        <v>0.12980605318856209</v>
      </c>
      <c r="C12" s="132">
        <f>E12-'[1]EU - country'!C12</f>
        <v>-6445.4241603559931</v>
      </c>
      <c r="D12" s="85">
        <f>F12-'[1]EU - country'!D12</f>
        <v>-14242.558135819447</v>
      </c>
      <c r="E12" s="162">
        <f>Spain!E$8</f>
        <v>207176.90763664857</v>
      </c>
      <c r="F12" s="85">
        <f>Spain!F$8</f>
        <v>183373.86939284808</v>
      </c>
      <c r="G12" s="85">
        <f>Spain!G$8</f>
        <v>258782.66864010144</v>
      </c>
      <c r="H12" s="85">
        <f>Spain!H$8</f>
        <v>182738.56914823313</v>
      </c>
      <c r="I12" s="85">
        <f>Spain!I$8</f>
        <v>297163.38084364199</v>
      </c>
      <c r="J12" s="85">
        <v>225896</v>
      </c>
      <c r="K12" s="85">
        <v>214382</v>
      </c>
      <c r="L12" s="31">
        <f>Spain!L$8</f>
        <v>248787.76347932007</v>
      </c>
      <c r="M12" s="31">
        <f>Spain!M$8</f>
        <v>201090.27367428067</v>
      </c>
      <c r="N12" s="31">
        <f>Spain!N$8</f>
        <v>227090.25764878167</v>
      </c>
      <c r="O12" s="31">
        <f>Spain!O$8</f>
        <v>195919.4703704314</v>
      </c>
      <c r="P12" s="31">
        <f>Spain!P$8</f>
        <v>145855</v>
      </c>
      <c r="Q12" s="31">
        <f>Spain!Q$8</f>
        <v>212582</v>
      </c>
      <c r="R12" s="31">
        <f>Spain!R$8</f>
        <v>209183</v>
      </c>
      <c r="S12" s="31">
        <f>Spain!S$8</f>
        <v>168764</v>
      </c>
      <c r="T12" s="31">
        <v>217115</v>
      </c>
      <c r="U12" s="31">
        <v>198160</v>
      </c>
      <c r="V12" s="32">
        <v>171293</v>
      </c>
      <c r="Z12" s="31"/>
      <c r="AA12" s="31"/>
    </row>
    <row r="13" spans="1:27">
      <c r="A13" s="50" t="s">
        <v>59</v>
      </c>
      <c r="B13" s="51">
        <f t="shared" si="0"/>
        <v>-6.5260566270004094E-2</v>
      </c>
      <c r="C13" s="132">
        <f>E13-'[1]EU - country'!C13</f>
        <v>-554</v>
      </c>
      <c r="D13" s="85">
        <f>F13-'[1]EU - country'!D13</f>
        <v>-3502</v>
      </c>
      <c r="E13" s="162">
        <f>Switzerland!E$19</f>
        <v>56949</v>
      </c>
      <c r="F13" s="85">
        <f>Switzerland!F$19</f>
        <v>60925</v>
      </c>
      <c r="G13" s="85">
        <f>Switzerland!G$19</f>
        <v>63888</v>
      </c>
      <c r="H13" s="85">
        <f>Switzerland!H$19</f>
        <v>64111</v>
      </c>
      <c r="I13" s="85">
        <f>Switzerland!I$19</f>
        <v>61830</v>
      </c>
      <c r="J13" s="85">
        <v>68488</v>
      </c>
      <c r="K13" s="85">
        <v>41382</v>
      </c>
      <c r="L13" s="31">
        <f>Switzerland!L$19</f>
        <v>63693</v>
      </c>
      <c r="M13" s="31">
        <f>Switzerland!M$19</f>
        <v>62756</v>
      </c>
      <c r="N13" s="31">
        <f>Switzerland!N$19</f>
        <v>63323</v>
      </c>
      <c r="O13" s="31">
        <f>Switzerland!O$19</f>
        <v>64590</v>
      </c>
      <c r="P13" s="31">
        <f>Switzerland!P$19</f>
        <v>62096</v>
      </c>
      <c r="Q13" s="31">
        <f>Switzerland!Q$19</f>
        <v>68136</v>
      </c>
      <c r="R13" s="31">
        <f>Switzerland!R$19</f>
        <v>63359</v>
      </c>
      <c r="S13" s="31">
        <f>Switzerland!S$19</f>
        <v>67200</v>
      </c>
      <c r="T13" s="31">
        <v>59479</v>
      </c>
      <c r="U13" s="31">
        <v>62992</v>
      </c>
      <c r="V13" s="32">
        <v>60711</v>
      </c>
      <c r="Z13" s="31"/>
      <c r="AA13" s="31"/>
    </row>
    <row r="14" spans="1:27" ht="13.8" thickBot="1">
      <c r="A14" s="50" t="s">
        <v>0</v>
      </c>
      <c r="B14" s="51">
        <f t="shared" si="0"/>
        <v>-0.21376901635490475</v>
      </c>
      <c r="C14" s="132">
        <f>E14-'[1]EU - country'!C14</f>
        <v>-13978</v>
      </c>
      <c r="D14" s="85">
        <f>F14-'[1]EU - country'!D14</f>
        <v>-16207</v>
      </c>
      <c r="E14" s="162">
        <f>Netherlands!E$8</f>
        <v>117058</v>
      </c>
      <c r="F14" s="85">
        <f>Netherlands!F$8</f>
        <v>148885</v>
      </c>
      <c r="G14" s="85">
        <f>Netherlands!G$8</f>
        <v>153654</v>
      </c>
      <c r="H14" s="85">
        <f>Netherlands!H$8</f>
        <v>145897</v>
      </c>
      <c r="I14" s="85">
        <f>Netherlands!I$8</f>
        <v>177799</v>
      </c>
      <c r="J14" s="85">
        <v>180727.21600000001</v>
      </c>
      <c r="K14" s="85">
        <v>145665</v>
      </c>
      <c r="L14" s="31">
        <f>Netherlands!L$8</f>
        <v>211579</v>
      </c>
      <c r="M14" s="31">
        <f>Netherlands!M$8</f>
        <v>220295</v>
      </c>
      <c r="N14" s="31">
        <f>Netherlands!N$8</f>
        <v>224509</v>
      </c>
      <c r="O14" s="31">
        <f>Netherlands!O$8</f>
        <v>224916</v>
      </c>
      <c r="P14" s="31">
        <f>Netherlands!P$8</f>
        <v>196000</v>
      </c>
      <c r="Q14" s="31">
        <f>Netherlands!Q$8</f>
        <v>269000</v>
      </c>
      <c r="R14" s="31">
        <f>Netherlands!R$8</f>
        <v>202000</v>
      </c>
      <c r="S14" s="31">
        <f>Netherlands!S$8</f>
        <v>268000</v>
      </c>
      <c r="T14" s="31">
        <v>237000</v>
      </c>
      <c r="U14" s="31">
        <v>237000</v>
      </c>
      <c r="V14" s="32">
        <v>215000</v>
      </c>
      <c r="Z14" s="31"/>
      <c r="AA14" s="31"/>
    </row>
    <row r="15" spans="1:27" ht="13.8" hidden="1" thickBot="1">
      <c r="A15" s="52" t="s">
        <v>167</v>
      </c>
      <c r="B15" s="51" t="str">
        <f t="shared" si="0"/>
        <v/>
      </c>
      <c r="C15" s="132">
        <f>E15-'[1]EU - country'!C15</f>
        <v>0</v>
      </c>
      <c r="D15" s="85">
        <f>F15-'[1]EU - country'!D15</f>
        <v>0</v>
      </c>
      <c r="E15" s="162"/>
      <c r="F15" s="85"/>
      <c r="G15" s="85"/>
      <c r="H15" s="85">
        <f>UK!H$12</f>
        <v>0</v>
      </c>
      <c r="I15" s="85">
        <f>UK!I$12</f>
        <v>0</v>
      </c>
      <c r="J15" s="85"/>
      <c r="K15" s="86">
        <v>94063</v>
      </c>
      <c r="L15" s="35">
        <f>UK!L$12</f>
        <v>0</v>
      </c>
      <c r="M15" s="35">
        <f>UK!M$12</f>
        <v>150400</v>
      </c>
      <c r="N15" s="35">
        <f>UK!N$12</f>
        <v>157500</v>
      </c>
      <c r="O15" s="35">
        <f>UK!O$12</f>
        <v>157200</v>
      </c>
      <c r="P15" s="35">
        <f>UK!P$12</f>
        <v>103000</v>
      </c>
      <c r="Q15" s="35">
        <f>UK!Q$12</f>
        <v>151500</v>
      </c>
      <c r="R15" s="35">
        <f>UK!R$12</f>
        <v>150000</v>
      </c>
      <c r="S15" s="35">
        <f>UK!S$12</f>
        <v>142600</v>
      </c>
      <c r="T15" s="35">
        <v>122700</v>
      </c>
      <c r="U15" s="35">
        <v>116500</v>
      </c>
      <c r="V15" s="36">
        <v>104200</v>
      </c>
      <c r="Z15" s="31"/>
      <c r="AA15" s="31"/>
    </row>
    <row r="16" spans="1:27" ht="13.8" thickBot="1">
      <c r="A16" s="27" t="s">
        <v>22</v>
      </c>
      <c r="B16" s="38">
        <f t="shared" si="0"/>
        <v>-4.2207597044780609E-2</v>
      </c>
      <c r="C16" s="133"/>
      <c r="D16" s="39"/>
      <c r="E16" s="163">
        <f>SUM(E2:E15)</f>
        <v>4291700.2432244811</v>
      </c>
      <c r="F16" s="39">
        <f>SUM(F2:F15)</f>
        <v>4480825.103626485</v>
      </c>
      <c r="G16" s="39">
        <f>SUM(G2:G15)</f>
        <v>4902786.2553918967</v>
      </c>
      <c r="H16" s="39">
        <f>SUM(H2:H15)</f>
        <v>4592937.2641482335</v>
      </c>
      <c r="I16" s="39">
        <f>SUM(I2:I15)</f>
        <v>4457971.3808436422</v>
      </c>
      <c r="J16" s="39">
        <v>5139720.216</v>
      </c>
      <c r="K16" s="39">
        <v>3548332</v>
      </c>
      <c r="L16" s="39">
        <f t="shared" ref="L16:V16" si="1">SUM(L2:L15)</f>
        <v>4713530.3434793204</v>
      </c>
      <c r="M16" s="39">
        <f t="shared" si="1"/>
        <v>5074215.5036742808</v>
      </c>
      <c r="N16" s="39">
        <f t="shared" si="1"/>
        <v>5150749.5776487822</v>
      </c>
      <c r="O16" s="39">
        <f t="shared" si="1"/>
        <v>4606679.4703704314</v>
      </c>
      <c r="P16" s="39">
        <f t="shared" si="1"/>
        <v>4016560</v>
      </c>
      <c r="Q16" s="39">
        <f t="shared" si="1"/>
        <v>4394971</v>
      </c>
      <c r="R16" s="39">
        <f t="shared" si="1"/>
        <v>3774277</v>
      </c>
      <c r="S16" s="39">
        <f t="shared" si="1"/>
        <v>4245523.78</v>
      </c>
      <c r="T16" s="39">
        <f t="shared" si="1"/>
        <v>3953630.5249999999</v>
      </c>
      <c r="U16" s="39">
        <f t="shared" si="1"/>
        <v>2992861.0249999999</v>
      </c>
      <c r="V16" s="40">
        <f t="shared" si="1"/>
        <v>2930517</v>
      </c>
      <c r="X16" s="45"/>
      <c r="Z16" s="31"/>
      <c r="AA16" s="31"/>
    </row>
    <row r="17" spans="1:27" s="31" customFormat="1"/>
    <row r="18" spans="1:27" ht="13.8" thickBot="1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U18" s="31"/>
      <c r="V18" s="31"/>
      <c r="Z18" s="31"/>
      <c r="AA18" s="31"/>
    </row>
    <row r="19" spans="1:27" ht="13.8" thickBot="1">
      <c r="A19" s="27" t="s">
        <v>24</v>
      </c>
      <c r="B19" s="12" t="s">
        <v>184</v>
      </c>
      <c r="C19" s="117" t="s">
        <v>185</v>
      </c>
      <c r="D19" s="42" t="s">
        <v>179</v>
      </c>
      <c r="E19" s="156">
        <v>45261</v>
      </c>
      <c r="F19" s="13">
        <v>44896</v>
      </c>
      <c r="G19" s="13">
        <v>44531</v>
      </c>
      <c r="H19" s="13">
        <v>44166</v>
      </c>
      <c r="I19" s="13">
        <v>43800</v>
      </c>
      <c r="J19" s="13">
        <v>43435</v>
      </c>
      <c r="K19" s="13">
        <v>43070</v>
      </c>
      <c r="L19" s="13">
        <v>42705</v>
      </c>
      <c r="M19" s="43">
        <f>M1</f>
        <v>42339</v>
      </c>
      <c r="N19" s="43">
        <f>N1</f>
        <v>41974</v>
      </c>
      <c r="O19" s="43">
        <v>41609</v>
      </c>
      <c r="P19" s="43">
        <v>41244</v>
      </c>
      <c r="Q19" s="43">
        <v>40878</v>
      </c>
      <c r="R19" s="43">
        <v>40513</v>
      </c>
      <c r="S19" s="43">
        <v>40148</v>
      </c>
      <c r="T19" s="43">
        <v>39783</v>
      </c>
      <c r="U19" s="28">
        <v>39417</v>
      </c>
      <c r="V19" s="44">
        <v>39052</v>
      </c>
      <c r="X19" s="45"/>
      <c r="Y19" s="45"/>
    </row>
    <row r="20" spans="1:27">
      <c r="A20" s="50" t="s">
        <v>140</v>
      </c>
      <c r="B20" s="51">
        <f t="shared" ref="B20:B33" si="2">IFERROR((E20/F20-1), "")</f>
        <v>0.20502053753192939</v>
      </c>
      <c r="C20" s="132">
        <f>E20-'[1]EU - country'!C20</f>
        <v>-55138.248621551204</v>
      </c>
      <c r="D20" s="31">
        <f>F20-'[1]EU - country'!D20</f>
        <v>-43475.29069024499</v>
      </c>
      <c r="E20" s="164">
        <f>Belgium!E$20</f>
        <v>266363.38195285958</v>
      </c>
      <c r="F20" s="31">
        <f>Belgium!F$20</f>
        <v>221044.6823573758</v>
      </c>
      <c r="G20" s="31">
        <f>Belgium!G$20</f>
        <v>249449</v>
      </c>
      <c r="H20" s="31">
        <f>Belgium!H$20</f>
        <v>279087</v>
      </c>
      <c r="I20" s="31">
        <f>Belgium!I$20</f>
        <v>213675</v>
      </c>
      <c r="J20" s="31">
        <v>266890</v>
      </c>
      <c r="K20" s="31">
        <v>194885</v>
      </c>
      <c r="L20" s="31">
        <f>Belgium!L$20</f>
        <v>227982</v>
      </c>
      <c r="M20" s="31">
        <f>Belgium!M$20</f>
        <v>270107</v>
      </c>
      <c r="N20" s="31">
        <f>Belgium!N$20</f>
        <v>244970</v>
      </c>
      <c r="O20" s="31">
        <f>Belgium!O$20</f>
        <v>209901</v>
      </c>
      <c r="P20" s="31">
        <f>Belgium!P$20</f>
        <v>137139</v>
      </c>
      <c r="Q20" s="31">
        <f>Belgium!Q$20</f>
        <v>179980</v>
      </c>
      <c r="R20" s="31">
        <f>Belgium!R$20</f>
        <v>144300</v>
      </c>
      <c r="S20" s="31">
        <v>143100</v>
      </c>
      <c r="T20" s="31">
        <v>67300</v>
      </c>
      <c r="U20" s="31">
        <v>126500</v>
      </c>
      <c r="V20" s="32">
        <v>137400</v>
      </c>
    </row>
    <row r="21" spans="1:27">
      <c r="A21" s="50" t="s">
        <v>30</v>
      </c>
      <c r="B21" s="51">
        <f t="shared" si="2"/>
        <v>0.27764127764127755</v>
      </c>
      <c r="C21" s="132">
        <f>E21-'[1]EU - country'!C21</f>
        <v>-86</v>
      </c>
      <c r="D21" s="31">
        <f>F21-'[1]EU - country'!D21</f>
        <v>-941</v>
      </c>
      <c r="E21" s="164">
        <f>'Czech Republic'!E$21</f>
        <v>2600</v>
      </c>
      <c r="F21" s="31">
        <f>'Czech Republic'!F$21</f>
        <v>2035</v>
      </c>
      <c r="G21" s="31">
        <f>'Czech Republic'!G$21</f>
        <v>1954</v>
      </c>
      <c r="H21" s="31">
        <f>'Czech Republic'!H$21</f>
        <v>3587</v>
      </c>
      <c r="I21" s="31">
        <f>'Czech Republic'!I$21</f>
        <v>3292</v>
      </c>
      <c r="J21" s="31">
        <v>2348</v>
      </c>
      <c r="K21" s="31">
        <v>1719</v>
      </c>
      <c r="L21" s="31">
        <f>'Czech Republic'!L$21</f>
        <v>1404</v>
      </c>
      <c r="M21" s="31">
        <f>'Czech Republic'!M$21</f>
        <v>4293</v>
      </c>
      <c r="N21" s="31">
        <f>'Czech Republic'!N$21</f>
        <v>598</v>
      </c>
      <c r="O21" s="31">
        <f>'Czech Republic'!O$21</f>
        <v>2694</v>
      </c>
      <c r="P21" s="31">
        <f>'Czech Republic'!P$21</f>
        <v>856</v>
      </c>
      <c r="Q21" s="31">
        <f>'Czech Republic'!Q$21</f>
        <v>1226</v>
      </c>
      <c r="R21" s="31">
        <f>'Czech Republic'!R$21</f>
        <v>683</v>
      </c>
      <c r="S21" s="31">
        <v>687</v>
      </c>
      <c r="T21" s="31">
        <v>0</v>
      </c>
      <c r="U21" s="31">
        <v>38</v>
      </c>
      <c r="V21" s="32">
        <v>156</v>
      </c>
    </row>
    <row r="22" spans="1:27">
      <c r="A22" s="50" t="s">
        <v>39</v>
      </c>
      <c r="B22" s="51">
        <f t="shared" si="2"/>
        <v>-0.94444444444444442</v>
      </c>
      <c r="C22" s="132">
        <f>E22-'[1]EU - country'!C22</f>
        <v>-1062</v>
      </c>
      <c r="D22" s="31">
        <f>F22-'[1]EU - country'!D22</f>
        <v>-652</v>
      </c>
      <c r="E22" s="164">
        <f>Denmark!E$27</f>
        <v>36</v>
      </c>
      <c r="F22" s="31">
        <f>Denmark!F$27</f>
        <v>648</v>
      </c>
      <c r="G22" s="31">
        <f>Denmark!G$27</f>
        <v>121</v>
      </c>
      <c r="H22" s="31">
        <f>Denmark!H$27</f>
        <v>117</v>
      </c>
      <c r="I22" s="31">
        <f>Denmark!I$27</f>
        <v>214</v>
      </c>
      <c r="J22" s="31">
        <v>626</v>
      </c>
      <c r="K22" s="31">
        <v>0</v>
      </c>
      <c r="L22" s="31">
        <f>Denmark!L$27</f>
        <v>186</v>
      </c>
      <c r="M22" s="31">
        <f>Denmark!M$27</f>
        <v>859</v>
      </c>
      <c r="N22" s="31">
        <f>Denmark!N$27</f>
        <v>95</v>
      </c>
      <c r="O22" s="31">
        <f>Denmark!O$27</f>
        <v>1088</v>
      </c>
      <c r="P22" s="31">
        <f>Denmark!P$27</f>
        <v>98</v>
      </c>
      <c r="Q22" s="31">
        <f>Denmark!Q$27</f>
        <v>344</v>
      </c>
      <c r="R22" s="31">
        <f>Denmark!R$27</f>
        <v>152</v>
      </c>
      <c r="S22" s="31">
        <v>605</v>
      </c>
      <c r="T22" s="31">
        <v>425</v>
      </c>
      <c r="U22" s="31">
        <v>148</v>
      </c>
      <c r="V22" s="32">
        <v>43</v>
      </c>
    </row>
    <row r="23" spans="1:27" ht="13.5" customHeight="1">
      <c r="A23" s="50" t="s">
        <v>20</v>
      </c>
      <c r="B23" s="51">
        <f t="shared" si="2"/>
        <v>6.2120752427184511E-2</v>
      </c>
      <c r="C23" s="132">
        <f>E23-'[1]EU - country'!C23</f>
        <v>14003</v>
      </c>
      <c r="D23" s="85">
        <f>F23-'[1]EU - country'!D23</f>
        <v>-5821</v>
      </c>
      <c r="E23" s="162">
        <f>France!E38</f>
        <v>14003</v>
      </c>
      <c r="F23" s="85">
        <f>France!F38</f>
        <v>13184</v>
      </c>
      <c r="G23" s="85">
        <f>France!G38</f>
        <v>9629</v>
      </c>
      <c r="H23" s="85">
        <f>France!H38</f>
        <v>17314</v>
      </c>
      <c r="I23" s="85">
        <f>France!I38</f>
        <v>14566</v>
      </c>
      <c r="J23" s="31">
        <v>13169</v>
      </c>
      <c r="K23" s="31">
        <v>11812</v>
      </c>
      <c r="L23" s="31">
        <f>France!L38</f>
        <v>12765</v>
      </c>
      <c r="M23" s="31">
        <f>France!M38</f>
        <v>9589</v>
      </c>
      <c r="N23" s="31">
        <f>France!N38</f>
        <v>7766</v>
      </c>
      <c r="O23" s="31">
        <f>France!O38</f>
        <v>12345</v>
      </c>
      <c r="P23" s="31">
        <f>France!P38</f>
        <v>5724</v>
      </c>
      <c r="Q23" s="31">
        <f>France!Q38</f>
        <v>10871</v>
      </c>
      <c r="R23" s="31">
        <f>France!R38</f>
        <v>0</v>
      </c>
      <c r="S23" s="31">
        <v>12393</v>
      </c>
      <c r="T23" s="31">
        <v>5558</v>
      </c>
      <c r="U23" s="31"/>
      <c r="V23" s="32"/>
      <c r="Z23" s="31"/>
      <c r="AA23" s="31"/>
    </row>
    <row r="24" spans="1:27">
      <c r="A24" s="50" t="s">
        <v>27</v>
      </c>
      <c r="B24" s="51">
        <f t="shared" si="2"/>
        <v>0.2754278969112729</v>
      </c>
      <c r="C24" s="132">
        <f>E24-'[1]EU - country'!C24</f>
        <v>-973</v>
      </c>
      <c r="D24" s="31">
        <f>F24-'[1]EU - country'!D24</f>
        <v>-513</v>
      </c>
      <c r="E24" s="164">
        <f>Germany!E$26</f>
        <v>6483</v>
      </c>
      <c r="F24" s="31">
        <f>Germany!F$26</f>
        <v>5083</v>
      </c>
      <c r="G24" s="31">
        <f>Germany!G$26</f>
        <v>5542</v>
      </c>
      <c r="H24" s="31">
        <f>Germany!H$26</f>
        <v>4953</v>
      </c>
      <c r="I24" s="31">
        <f>Germany!I$26</f>
        <v>5376</v>
      </c>
      <c r="J24" s="31">
        <v>5040</v>
      </c>
      <c r="K24" s="31">
        <v>3221</v>
      </c>
      <c r="L24" s="31">
        <f>Germany!L$26</f>
        <v>3457</v>
      </c>
      <c r="M24" s="31">
        <f>Germany!M$26</f>
        <v>5609</v>
      </c>
      <c r="N24" s="31">
        <f>Germany!N$26</f>
        <v>3339</v>
      </c>
      <c r="O24" s="31">
        <f>Germany!O$26</f>
        <v>5436</v>
      </c>
      <c r="P24" s="31">
        <f>Germany!P$26</f>
        <v>2045</v>
      </c>
      <c r="Q24" s="31">
        <f>Germany!Q$26</f>
        <v>4606</v>
      </c>
      <c r="R24" s="31">
        <f>Germany!R$26</f>
        <v>3862</v>
      </c>
      <c r="S24" s="31">
        <v>4446</v>
      </c>
      <c r="T24" s="31">
        <v>2527</v>
      </c>
      <c r="U24" s="31">
        <v>2243</v>
      </c>
      <c r="V24" s="32">
        <v>2064</v>
      </c>
      <c r="Z24" s="31"/>
      <c r="AA24" s="31"/>
    </row>
    <row r="25" spans="1:27">
      <c r="A25" s="50" t="s">
        <v>182</v>
      </c>
      <c r="B25" s="51">
        <f t="shared" si="2"/>
        <v>-0.66167804107918848</v>
      </c>
      <c r="C25" s="132">
        <f>E25-'[1]EU - country'!C25</f>
        <v>-18620.665982467133</v>
      </c>
      <c r="D25" s="31">
        <f>F25-'[1]EU - country'!D25</f>
        <v>-36479.972516282869</v>
      </c>
      <c r="E25" s="164">
        <f>Italy!E$29</f>
        <v>32445.075860505825</v>
      </c>
      <c r="F25" s="31">
        <f>Italy!F$29</f>
        <v>95900</v>
      </c>
      <c r="G25" s="31">
        <f>Italy!G$29</f>
        <v>55448.62647562557</v>
      </c>
      <c r="H25" s="31">
        <f>Italy!H$29</f>
        <v>220936.90028619717</v>
      </c>
      <c r="I25" s="31">
        <f>Italy!I$29</f>
        <v>108491.73440712279</v>
      </c>
      <c r="J25" s="31">
        <v>255781.3965072959</v>
      </c>
      <c r="K25" s="31">
        <v>285998</v>
      </c>
      <c r="L25" s="31">
        <f>Italy!L$29</f>
        <v>254320.34380295454</v>
      </c>
      <c r="M25" s="31">
        <f>Italy!M$29</f>
        <v>316542.18760784686</v>
      </c>
      <c r="N25" s="31">
        <f>Italy!N$29</f>
        <v>313943.30568824644</v>
      </c>
      <c r="O25" s="31">
        <f>Italy!O$29</f>
        <v>401545.78925758402</v>
      </c>
      <c r="P25" s="31">
        <f>Italy!P$29</f>
        <v>285216</v>
      </c>
      <c r="Q25" s="31">
        <f>Italy!Q$29</f>
        <v>471554</v>
      </c>
      <c r="R25" s="31">
        <f>Italy!R$29</f>
        <v>216968</v>
      </c>
      <c r="S25" s="31">
        <v>297250</v>
      </c>
      <c r="T25" s="31">
        <v>237404</v>
      </c>
      <c r="U25" s="31">
        <v>278826</v>
      </c>
      <c r="V25" s="32">
        <v>316317</v>
      </c>
      <c r="Z25" s="31"/>
      <c r="AA25" s="31"/>
    </row>
    <row r="26" spans="1:27">
      <c r="A26" s="29" t="s">
        <v>31</v>
      </c>
      <c r="B26" s="51">
        <f t="shared" si="2"/>
        <v>-0.19999999999999996</v>
      </c>
      <c r="C26" s="132"/>
      <c r="D26" s="31"/>
      <c r="E26" s="164">
        <f>Poland!E$25</f>
        <v>40000</v>
      </c>
      <c r="F26" s="31">
        <f>Poland!F$25</f>
        <v>50000</v>
      </c>
      <c r="G26" s="31">
        <f>Poland!G$25</f>
        <v>41000</v>
      </c>
      <c r="H26" s="31">
        <f>Poland!H$25</f>
        <v>36000</v>
      </c>
      <c r="I26" s="31">
        <f>Poland!I$25</f>
        <v>18000</v>
      </c>
      <c r="J26" s="31"/>
      <c r="K26" s="31">
        <v>13000</v>
      </c>
      <c r="L26" s="31">
        <f>Poland!L$25</f>
        <v>16000</v>
      </c>
      <c r="M26" s="31">
        <f>Poland!M$25</f>
        <v>23000</v>
      </c>
      <c r="N26" s="31">
        <f>Poland!N$25</f>
        <v>13000</v>
      </c>
      <c r="O26" s="31">
        <f>Poland!O$25</f>
        <v>30000</v>
      </c>
      <c r="P26" s="31">
        <f>Poland!P$25</f>
        <v>8000</v>
      </c>
      <c r="Q26" s="31">
        <f>Poland!Q$25</f>
        <v>19000</v>
      </c>
      <c r="R26" s="31">
        <f>Poland!R$25</f>
        <v>22000</v>
      </c>
      <c r="S26" s="31">
        <v>50000</v>
      </c>
      <c r="T26" s="31">
        <v>35000</v>
      </c>
      <c r="U26" s="31">
        <v>18000</v>
      </c>
      <c r="V26" s="32">
        <v>40000</v>
      </c>
      <c r="Z26" s="31"/>
      <c r="AA26" s="31"/>
    </row>
    <row r="27" spans="1:27" hidden="1">
      <c r="A27" s="29" t="s">
        <v>170</v>
      </c>
      <c r="B27" s="51" t="str">
        <f t="shared" si="2"/>
        <v/>
      </c>
      <c r="C27" s="132"/>
      <c r="D27" s="85"/>
      <c r="E27" s="162">
        <f>Portugal!E$14</f>
        <v>0</v>
      </c>
      <c r="F27" s="85">
        <f>Portugal!F$14</f>
        <v>0</v>
      </c>
      <c r="G27" s="85">
        <f>Portugal!G$14</f>
        <v>0</v>
      </c>
      <c r="H27" s="85">
        <f>Portugal!H$14</f>
        <v>0</v>
      </c>
      <c r="I27" s="85">
        <f>Portugal!I$14</f>
        <v>0</v>
      </c>
      <c r="J27" s="85">
        <v>0</v>
      </c>
      <c r="K27" s="85">
        <v>0</v>
      </c>
      <c r="L27" s="31">
        <f>Portugal!L$14</f>
        <v>0</v>
      </c>
      <c r="M27" s="31">
        <f>Portugal!M$14</f>
        <v>0</v>
      </c>
      <c r="N27" s="31">
        <f>Portugal!N$14</f>
        <v>0</v>
      </c>
      <c r="O27" s="31">
        <f>Portugal!Q$14</f>
        <v>0</v>
      </c>
      <c r="P27" s="31">
        <f>Portugal!R$14</f>
        <v>0</v>
      </c>
      <c r="Q27" s="31">
        <f>Portugal!S$14</f>
        <v>0</v>
      </c>
      <c r="R27" s="31">
        <f>Portugal!T$14</f>
        <v>0</v>
      </c>
      <c r="S27" s="31">
        <v>0</v>
      </c>
      <c r="T27" s="31">
        <v>0</v>
      </c>
      <c r="U27" s="31">
        <v>0</v>
      </c>
      <c r="V27" s="32">
        <v>0</v>
      </c>
      <c r="Z27" s="31"/>
      <c r="AA27" s="31"/>
    </row>
    <row r="28" spans="1:27" hidden="1">
      <c r="A28" s="29" t="s">
        <v>175</v>
      </c>
      <c r="B28" s="51" t="str">
        <f t="shared" si="2"/>
        <v/>
      </c>
      <c r="C28" s="132">
        <f>E28-'[1]EU - country'!C28</f>
        <v>-154.95999999999998</v>
      </c>
      <c r="D28" s="85">
        <f>F28-'[1]EU - country'!D28</f>
        <v>0</v>
      </c>
      <c r="E28" s="162"/>
      <c r="F28" s="85"/>
      <c r="G28" s="85"/>
      <c r="H28" s="85"/>
      <c r="I28" s="85"/>
      <c r="J28" s="85"/>
      <c r="K28" s="8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  <c r="Z28" s="31"/>
      <c r="AA28" s="31"/>
    </row>
    <row r="29" spans="1:27">
      <c r="A29" s="50" t="s">
        <v>36</v>
      </c>
      <c r="B29" s="51">
        <f t="shared" si="2"/>
        <v>0.20158731179214029</v>
      </c>
      <c r="C29" s="132">
        <f>E29-'[1]EU - country'!C29</f>
        <v>-11079.127601505345</v>
      </c>
      <c r="D29" s="31">
        <f>F29-'[1]EU - country'!D29</f>
        <v>-10902.522079058639</v>
      </c>
      <c r="E29" s="164">
        <f>Spain!E$17</f>
        <v>55799.569526380816</v>
      </c>
      <c r="F29" s="31">
        <f>Spain!F$17</f>
        <v>46438.214667194698</v>
      </c>
      <c r="G29" s="31">
        <f>Spain!G$17</f>
        <v>64505.34767819968</v>
      </c>
      <c r="H29" s="31">
        <f>Spain!H$17</f>
        <v>70267.326906571296</v>
      </c>
      <c r="I29" s="31">
        <f>Spain!I$17</f>
        <v>79332.828419109937</v>
      </c>
      <c r="J29" s="31">
        <v>71976</v>
      </c>
      <c r="K29" s="31">
        <v>86574</v>
      </c>
      <c r="L29" s="31">
        <f>Spain!L$17</f>
        <v>79800.322397630269</v>
      </c>
      <c r="M29" s="31">
        <f>Spain!M$17</f>
        <v>70326.233841330162</v>
      </c>
      <c r="N29" s="31">
        <f>Spain!N$17</f>
        <v>95692</v>
      </c>
      <c r="O29" s="31">
        <f>Spain!O$17</f>
        <v>111561.88378731743</v>
      </c>
      <c r="P29" s="31">
        <f>Spain!P$17</f>
        <v>69068</v>
      </c>
      <c r="Q29" s="31">
        <f>Spain!Q$17</f>
        <v>125781</v>
      </c>
      <c r="R29" s="31">
        <f>Spain!R$17</f>
        <v>123036</v>
      </c>
      <c r="S29" s="31">
        <v>88142</v>
      </c>
      <c r="T29" s="31">
        <v>99593</v>
      </c>
      <c r="U29" s="31">
        <v>103947</v>
      </c>
      <c r="V29" s="32">
        <v>120890</v>
      </c>
      <c r="Z29" s="31"/>
      <c r="AA29" s="31"/>
    </row>
    <row r="30" spans="1:27">
      <c r="A30" s="50" t="s">
        <v>59</v>
      </c>
      <c r="B30" s="51">
        <f t="shared" si="2"/>
        <v>-0.30799490917505501</v>
      </c>
      <c r="C30" s="132">
        <f>E30-'[1]EU - country'!C30</f>
        <v>-2137</v>
      </c>
      <c r="D30" s="31">
        <f>F30-'[1]EU - country'!D30</f>
        <v>-1877</v>
      </c>
      <c r="E30" s="164">
        <f>Switzerland!E$28</f>
        <v>5981</v>
      </c>
      <c r="F30" s="31">
        <f>Switzerland!F$28</f>
        <v>8643</v>
      </c>
      <c r="G30" s="31">
        <f>Switzerland!G$28</f>
        <v>6931</v>
      </c>
      <c r="H30" s="31">
        <f>Switzerland!H$28</f>
        <v>10016</v>
      </c>
      <c r="I30" s="31">
        <f>Switzerland!I$28</f>
        <v>10887</v>
      </c>
      <c r="J30" s="31">
        <v>9874</v>
      </c>
      <c r="K30" s="31">
        <v>2128</v>
      </c>
      <c r="L30" s="31">
        <f>Switzerland!L$28</f>
        <v>6941</v>
      </c>
      <c r="M30" s="31">
        <f>Switzerland!M$28</f>
        <v>7422</v>
      </c>
      <c r="N30" s="31">
        <f>Switzerland!N$28</f>
        <v>9260</v>
      </c>
      <c r="O30" s="31">
        <f>Switzerland!O$28</f>
        <v>7596</v>
      </c>
      <c r="P30" s="31">
        <f>Switzerland!P$28</f>
        <v>5504</v>
      </c>
      <c r="Q30" s="31">
        <f>Switzerland!Q$28</f>
        <v>11125</v>
      </c>
      <c r="R30" s="31">
        <f>Switzerland!R$28</f>
        <v>4954</v>
      </c>
      <c r="S30" s="31">
        <v>11369</v>
      </c>
      <c r="T30" s="31">
        <v>3305</v>
      </c>
      <c r="U30" s="31">
        <v>11427</v>
      </c>
      <c r="V30" s="32">
        <v>6117</v>
      </c>
      <c r="Z30" s="31"/>
      <c r="AA30" s="31"/>
    </row>
    <row r="31" spans="1:27" ht="13.8" thickBot="1">
      <c r="A31" s="50" t="s">
        <v>0</v>
      </c>
      <c r="B31" s="51">
        <f t="shared" si="2"/>
        <v>2.0039805092306739E-2</v>
      </c>
      <c r="C31" s="132">
        <f>E31-'[1]EU - country'!C31</f>
        <v>-33216</v>
      </c>
      <c r="D31" s="31">
        <f>F31-'[1]EU - country'!D31</f>
        <v>-32881</v>
      </c>
      <c r="E31" s="164">
        <f>Netherlands!E$15</f>
        <v>237808</v>
      </c>
      <c r="F31" s="31">
        <f>Netherlands!F$15</f>
        <v>233136</v>
      </c>
      <c r="G31" s="31">
        <f>Netherlands!G$15</f>
        <v>221094</v>
      </c>
      <c r="H31" s="31">
        <f>Netherlands!H$15</f>
        <v>257000</v>
      </c>
      <c r="I31" s="31">
        <f>Netherlands!I$15</f>
        <v>228000</v>
      </c>
      <c r="J31" s="31">
        <v>249916.53599999999</v>
      </c>
      <c r="K31" s="31">
        <v>206152</v>
      </c>
      <c r="L31" s="31">
        <f>Netherlands!L$15</f>
        <v>232567</v>
      </c>
      <c r="M31" s="31">
        <f>Netherlands!M$15</f>
        <v>224184</v>
      </c>
      <c r="N31" s="31">
        <f>Netherlands!N$15</f>
        <v>220066</v>
      </c>
      <c r="O31" s="31">
        <f>Netherlands!O$15</f>
        <v>221727</v>
      </c>
      <c r="P31" s="31">
        <f>Netherlands!P$15</f>
        <v>117000</v>
      </c>
      <c r="Q31" s="31">
        <f>Netherlands!Q$15</f>
        <v>187000</v>
      </c>
      <c r="R31" s="31">
        <f>Netherlands!R$15</f>
        <v>150000</v>
      </c>
      <c r="S31" s="31">
        <v>171000</v>
      </c>
      <c r="T31" s="31">
        <v>86000</v>
      </c>
      <c r="U31" s="31">
        <v>129000</v>
      </c>
      <c r="V31" s="32">
        <v>120000</v>
      </c>
      <c r="Z31" s="31"/>
      <c r="AA31" s="31"/>
    </row>
    <row r="32" spans="1:27" ht="13.8" hidden="1" thickBot="1">
      <c r="A32" s="52" t="s">
        <v>167</v>
      </c>
      <c r="B32" s="51" t="str">
        <f t="shared" si="2"/>
        <v/>
      </c>
      <c r="C32" s="132">
        <f>E32-'[1]EU - country'!C32</f>
        <v>0</v>
      </c>
      <c r="D32" s="31">
        <f>F32-'[1]EU - country'!D32</f>
        <v>0</v>
      </c>
      <c r="E32" s="164"/>
      <c r="F32" s="31"/>
      <c r="G32" s="31"/>
      <c r="H32" s="31">
        <f>UK!H$19</f>
        <v>0</v>
      </c>
      <c r="I32" s="31">
        <f>UK!I$19</f>
        <v>0</v>
      </c>
      <c r="J32" s="31">
        <v>0</v>
      </c>
      <c r="K32" s="35">
        <v>10074</v>
      </c>
      <c r="L32" s="35">
        <f>UK!L$19</f>
        <v>0</v>
      </c>
      <c r="M32" s="35">
        <f>UK!M$19</f>
        <v>16700</v>
      </c>
      <c r="N32" s="35">
        <f>UK!N$19</f>
        <v>13500</v>
      </c>
      <c r="O32" s="35">
        <f>UK!O$19</f>
        <v>16600</v>
      </c>
      <c r="P32" s="35">
        <f>UK!P$19</f>
        <v>14000</v>
      </c>
      <c r="Q32" s="35">
        <f>UK!Q$19</f>
        <v>19500</v>
      </c>
      <c r="R32" s="35">
        <f>UK!R$19</f>
        <v>18000</v>
      </c>
      <c r="S32" s="35">
        <v>18900</v>
      </c>
      <c r="T32" s="35">
        <v>14100</v>
      </c>
      <c r="U32" s="35">
        <v>15000</v>
      </c>
      <c r="V32" s="36">
        <v>18000</v>
      </c>
      <c r="Z32" s="31"/>
      <c r="AA32" s="31"/>
    </row>
    <row r="33" spans="1:27" ht="13.8" thickBot="1">
      <c r="A33" s="27" t="s">
        <v>22</v>
      </c>
      <c r="B33" s="38">
        <f t="shared" si="2"/>
        <v>-2.1583512653814418E-2</v>
      </c>
      <c r="C33" s="133"/>
      <c r="D33" s="39"/>
      <c r="E33" s="163">
        <f>SUM(E20:E32)</f>
        <v>661519.02733974624</v>
      </c>
      <c r="F33" s="39">
        <f>SUM(F20:F32)</f>
        <v>676111.8970245705</v>
      </c>
      <c r="G33" s="39">
        <f>SUM(G20:G32)</f>
        <v>655673.97415382531</v>
      </c>
      <c r="H33" s="39">
        <f>SUM(H20:H32)</f>
        <v>899278.22719276848</v>
      </c>
      <c r="I33" s="39">
        <f>SUM(I20:I32)</f>
        <v>681834.56282623275</v>
      </c>
      <c r="J33" s="39">
        <v>912620.93250729586</v>
      </c>
      <c r="K33" s="39">
        <v>815563</v>
      </c>
      <c r="L33" s="39">
        <f>SUM(L20:L32)</f>
        <v>835422.66620058485</v>
      </c>
      <c r="M33" s="39">
        <f>SUM(M20:M32)</f>
        <v>948631.42144917708</v>
      </c>
      <c r="N33" s="39">
        <f>SUM(N20:N32)</f>
        <v>922229.30568824639</v>
      </c>
      <c r="O33" s="39">
        <f>SUM(O20:O32)</f>
        <v>1020494.6730449015</v>
      </c>
      <c r="P33" s="39">
        <f>SUM(P20:P32)</f>
        <v>644650</v>
      </c>
      <c r="Q33" s="39">
        <f t="shared" ref="Q33:V33" si="3">SUM(Q20:Q32)</f>
        <v>1030987</v>
      </c>
      <c r="R33" s="39">
        <f t="shared" si="3"/>
        <v>683955</v>
      </c>
      <c r="S33" s="39">
        <f t="shared" si="3"/>
        <v>797892</v>
      </c>
      <c r="T33" s="39">
        <f t="shared" si="3"/>
        <v>551212</v>
      </c>
      <c r="U33" s="39">
        <f t="shared" si="3"/>
        <v>685129</v>
      </c>
      <c r="V33" s="40">
        <f t="shared" si="3"/>
        <v>760987</v>
      </c>
      <c r="X33" s="45"/>
      <c r="Z33" s="31"/>
      <c r="AA33" s="31"/>
    </row>
    <row r="34" spans="1:27" s="31" customFormat="1">
      <c r="A34" s="31" t="s">
        <v>168</v>
      </c>
    </row>
    <row r="35" spans="1:27">
      <c r="A35" s="26" t="s">
        <v>169</v>
      </c>
      <c r="U35" s="31"/>
      <c r="V35" s="31"/>
      <c r="Z35" s="31"/>
      <c r="AA35" s="31"/>
    </row>
    <row r="36" spans="1:27">
      <c r="A36" s="3" t="s">
        <v>181</v>
      </c>
      <c r="U36" s="31"/>
      <c r="V36" s="31"/>
      <c r="Z36" s="31"/>
      <c r="AA36" s="31"/>
    </row>
    <row r="37" spans="1:27">
      <c r="A37" s="58"/>
      <c r="X37" s="58"/>
    </row>
    <row r="38" spans="1:27" ht="14.25" customHeight="1">
      <c r="A38" s="59"/>
      <c r="B38" s="59"/>
      <c r="C38" s="148"/>
      <c r="D38" s="148"/>
      <c r="E38" s="148"/>
      <c r="F38" s="148"/>
      <c r="G38" s="148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60"/>
      <c r="V38" s="60"/>
      <c r="X38" s="59"/>
    </row>
    <row r="39" spans="1:27">
      <c r="U39" s="31"/>
      <c r="V39" s="31"/>
    </row>
    <row r="40" spans="1:27" ht="15" customHeight="1">
      <c r="A40" s="61"/>
      <c r="B40" s="61"/>
      <c r="C40" s="61"/>
      <c r="D40" s="61"/>
      <c r="E40" s="61"/>
      <c r="F40" s="61"/>
      <c r="G40" s="62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2"/>
      <c r="V40" s="62"/>
      <c r="W40" s="63"/>
      <c r="X40" s="61"/>
    </row>
    <row r="41" spans="1:27">
      <c r="G41" s="62"/>
      <c r="U41" s="64"/>
      <c r="V41" s="64"/>
      <c r="W41" s="31"/>
    </row>
    <row r="42" spans="1:27">
      <c r="G42" s="62"/>
      <c r="U42" s="64"/>
      <c r="V42" s="64"/>
      <c r="W42" s="31"/>
    </row>
    <row r="43" spans="1:27">
      <c r="G43" s="62"/>
      <c r="U43" s="64"/>
      <c r="V43" s="64"/>
      <c r="W43" s="31"/>
    </row>
    <row r="44" spans="1:27">
      <c r="G44" s="62"/>
      <c r="U44" s="64"/>
      <c r="V44" s="64"/>
      <c r="W44" s="31"/>
    </row>
    <row r="45" spans="1:27">
      <c r="G45" s="62"/>
      <c r="U45" s="64"/>
      <c r="V45" s="64"/>
      <c r="W45" s="31"/>
    </row>
    <row r="46" spans="1:27">
      <c r="G46" s="62"/>
      <c r="U46" s="64"/>
      <c r="V46" s="64"/>
      <c r="W46" s="31"/>
    </row>
    <row r="47" spans="1:27">
      <c r="G47" s="62"/>
      <c r="U47" s="64"/>
      <c r="V47" s="64"/>
      <c r="W47" s="31"/>
    </row>
    <row r="48" spans="1:27">
      <c r="A48" s="65"/>
      <c r="B48" s="65"/>
      <c r="C48" s="65"/>
      <c r="D48" s="65"/>
      <c r="E48" s="65"/>
      <c r="F48" s="65"/>
      <c r="G48" s="62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4"/>
      <c r="V48" s="64"/>
      <c r="W48" s="31"/>
      <c r="X48" s="65"/>
    </row>
    <row r="49" spans="1:24">
      <c r="A49" s="65"/>
      <c r="B49" s="65"/>
      <c r="C49" s="65"/>
      <c r="D49" s="65"/>
      <c r="E49" s="65"/>
      <c r="F49" s="65"/>
      <c r="G49" s="62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4"/>
      <c r="V49" s="64"/>
      <c r="W49" s="31"/>
      <c r="X49" s="65"/>
    </row>
    <row r="50" spans="1:24">
      <c r="A50" s="65"/>
      <c r="B50" s="65"/>
      <c r="C50" s="65"/>
      <c r="D50" s="65"/>
      <c r="E50" s="65"/>
      <c r="F50" s="65"/>
      <c r="G50" s="62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4"/>
      <c r="V50" s="64"/>
      <c r="W50" s="31"/>
      <c r="X50" s="65"/>
    </row>
    <row r="51" spans="1:24">
      <c r="A51" s="65"/>
      <c r="B51" s="65"/>
      <c r="C51" s="65"/>
      <c r="D51" s="65"/>
      <c r="E51" s="65"/>
      <c r="F51" s="65"/>
      <c r="G51" s="62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4"/>
      <c r="V51" s="64"/>
      <c r="W51" s="31"/>
      <c r="X51" s="65"/>
    </row>
    <row r="52" spans="1:24">
      <c r="A52" s="65"/>
      <c r="B52" s="65"/>
      <c r="C52" s="65"/>
      <c r="D52" s="65"/>
      <c r="E52" s="65"/>
      <c r="F52" s="65"/>
      <c r="G52" s="62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4"/>
      <c r="V52" s="64"/>
      <c r="W52" s="31"/>
      <c r="X52" s="65"/>
    </row>
    <row r="53" spans="1:24">
      <c r="A53" s="65"/>
      <c r="B53" s="65"/>
      <c r="C53" s="65"/>
      <c r="D53" s="65"/>
      <c r="E53" s="65"/>
      <c r="F53" s="65"/>
      <c r="G53" s="62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4"/>
      <c r="V53" s="64"/>
      <c r="W53" s="31"/>
      <c r="X53" s="65"/>
    </row>
    <row r="54" spans="1:24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4"/>
      <c r="V54" s="64"/>
      <c r="W54" s="31"/>
      <c r="X54" s="65"/>
    </row>
    <row r="55" spans="1:24">
      <c r="U55" s="64"/>
      <c r="V55" s="64"/>
      <c r="W55" s="31"/>
    </row>
    <row r="56" spans="1:24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4"/>
      <c r="V56" s="64"/>
      <c r="W56" s="66"/>
      <c r="X56" s="65"/>
    </row>
    <row r="57" spans="1:24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4"/>
      <c r="V57" s="64"/>
      <c r="X57" s="65"/>
    </row>
    <row r="58" spans="1:24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4"/>
      <c r="V58" s="64"/>
      <c r="W58" s="31"/>
      <c r="X58" s="65"/>
    </row>
    <row r="59" spans="1:24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4"/>
      <c r="V59" s="64"/>
      <c r="W59" s="31"/>
      <c r="X59" s="65"/>
    </row>
    <row r="60" spans="1:24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4"/>
      <c r="V60" s="64"/>
      <c r="W60" s="31"/>
      <c r="X60" s="65"/>
    </row>
    <row r="61" spans="1:24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  <c r="V61" s="64"/>
      <c r="W61" s="31"/>
      <c r="X61" s="65"/>
    </row>
    <row r="62" spans="1:24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4"/>
      <c r="V62" s="64"/>
      <c r="W62" s="31"/>
      <c r="X62" s="65"/>
    </row>
    <row r="63" spans="1:24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4"/>
      <c r="V63" s="64"/>
      <c r="W63" s="66"/>
      <c r="X63" s="65"/>
    </row>
    <row r="64" spans="1:24" ht="26.2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67"/>
      <c r="V64" s="67"/>
      <c r="X64" s="59"/>
    </row>
    <row r="65" spans="1:24">
      <c r="U65" s="31"/>
      <c r="V65" s="31"/>
    </row>
    <row r="66" spans="1:24">
      <c r="U66" s="31"/>
      <c r="V66" s="31"/>
    </row>
    <row r="67" spans="1:24">
      <c r="U67" s="31"/>
      <c r="V67" s="31"/>
    </row>
    <row r="68" spans="1:24">
      <c r="U68" s="68"/>
      <c r="V68" s="68"/>
    </row>
    <row r="69" spans="1:24">
      <c r="U69" s="68"/>
      <c r="V69" s="68"/>
    </row>
    <row r="70" spans="1:24">
      <c r="U70" s="31"/>
      <c r="V70" s="68"/>
    </row>
    <row r="71" spans="1:24">
      <c r="U71" s="31"/>
      <c r="V71" s="31"/>
    </row>
    <row r="72" spans="1:24">
      <c r="U72" s="31"/>
      <c r="V72" s="31"/>
    </row>
    <row r="73" spans="1:24">
      <c r="U73" s="31"/>
      <c r="V73" s="31"/>
    </row>
    <row r="74" spans="1:24">
      <c r="U74" s="31"/>
      <c r="V74" s="31"/>
    </row>
    <row r="75" spans="1:24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66"/>
      <c r="V75" s="66"/>
      <c r="X75" s="45"/>
    </row>
    <row r="80" spans="1:24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X80" s="45"/>
    </row>
  </sheetData>
  <pageMargins left="0.75" right="0.75" top="1" bottom="1" header="0.5" footer="0.5"/>
  <pageSetup paperSize="9" scale="5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A45"/>
  <sheetViews>
    <sheetView zoomScaleNormal="100" workbookViewId="0"/>
  </sheetViews>
  <sheetFormatPr defaultColWidth="9.109375" defaultRowHeight="13.2"/>
  <cols>
    <col min="1" max="1" width="24.6640625" style="26" customWidth="1"/>
    <col min="2" max="2" width="10.6640625" style="26" customWidth="1"/>
    <col min="3" max="4" width="11.44140625" style="26" bestFit="1" customWidth="1"/>
    <col min="5" max="11" width="11.44140625" style="26" customWidth="1"/>
    <col min="12" max="12" width="10.44140625" style="26" customWidth="1"/>
    <col min="13" max="19" width="10.6640625" style="26" customWidth="1"/>
    <col min="20" max="16384" width="9.109375" style="26"/>
  </cols>
  <sheetData>
    <row r="1" spans="1:20" ht="13.8" thickBot="1">
      <c r="A1" s="27" t="s">
        <v>92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44">
        <v>40148</v>
      </c>
    </row>
    <row r="2" spans="1:20">
      <c r="A2" s="89" t="s">
        <v>145</v>
      </c>
      <c r="B2" s="90">
        <f t="shared" ref="B2:B32" si="0">IFERROR((E2/F2-1), "")</f>
        <v>-0.19999999999999996</v>
      </c>
      <c r="C2" s="102">
        <f>E2-'[1]EU variety'!C2</f>
        <v>-16000</v>
      </c>
      <c r="D2" s="100">
        <f>F2-'[1]EU variety'!D2</f>
        <v>-10000</v>
      </c>
      <c r="E2" s="165">
        <f>Italy!E$2</f>
        <v>20000</v>
      </c>
      <c r="F2" s="100">
        <f>Italy!F$2</f>
        <v>25000</v>
      </c>
      <c r="G2" s="100">
        <f>Italy!G$2</f>
        <v>25000</v>
      </c>
      <c r="H2" s="100">
        <f>Italy!H$2</f>
        <v>25000</v>
      </c>
      <c r="I2" s="100">
        <f>Italy!I$2</f>
        <v>25000</v>
      </c>
      <c r="J2" s="48">
        <v>25000</v>
      </c>
      <c r="K2" s="48">
        <v>18000</v>
      </c>
      <c r="L2" s="48">
        <f>Italy!L$2</f>
        <v>20000</v>
      </c>
      <c r="M2" s="48">
        <f>Italy!M$2</f>
        <v>20000</v>
      </c>
      <c r="N2" s="48">
        <f>Italy!N$2</f>
        <v>27000</v>
      </c>
      <c r="O2" s="48">
        <f>Italy!O$2</f>
        <v>0</v>
      </c>
      <c r="P2" s="48">
        <f>Italy!P$2</f>
        <v>33521.627330017844</v>
      </c>
      <c r="Q2" s="48">
        <f>Italy!Q$2</f>
        <v>20048.692952691636</v>
      </c>
      <c r="R2" s="48">
        <f>Italy!R$2</f>
        <v>20000</v>
      </c>
      <c r="S2" s="49">
        <f>Italy!S$2</f>
        <v>20000</v>
      </c>
      <c r="T2" s="31"/>
    </row>
    <row r="3" spans="1:20">
      <c r="A3" s="29" t="s">
        <v>3</v>
      </c>
      <c r="B3" s="30">
        <f t="shared" si="0"/>
        <v>-0.21986522804406006</v>
      </c>
      <c r="C3" s="103">
        <f>E3-'[1]EU variety'!C3</f>
        <v>-3360.3912837276257</v>
      </c>
      <c r="D3" s="31">
        <f>F3-'[1]EU variety'!D3</f>
        <v>-7009.9358669244721</v>
      </c>
      <c r="E3" s="164">
        <f>Austria!E$3+Belgium!E$2+Denmark!E$2+France!E$4+Germany!E$2+Switzerland!E$2+Netherlands!E$2+Poland!E$2</f>
        <v>19542.636082420282</v>
      </c>
      <c r="F3" s="31">
        <f>Austria!F$3+Belgium!F$2+Denmark!F$2+France!F$4+Germany!F$2+Switzerland!F$2+Netherlands!F$2+Poland!F$2</f>
        <v>25050.333333333336</v>
      </c>
      <c r="G3" s="31">
        <f>Austria!G$3+Belgium!G$2+Denmark!G$2+France!G$4+Germany!G$2+Switzerland!G$2+Netherlands!G$2+Poland!G$2</f>
        <v>28899.722222222223</v>
      </c>
      <c r="H3" s="31">
        <f>Austria!H$3+Belgium!H$2+Denmark!H$2+France!H$4+Germany!H$2+Switzerland!H$2+Netherlands!H$2+Poland!H$2</f>
        <v>18028.599999999999</v>
      </c>
      <c r="I3" s="31">
        <f>Austria!I$3+Belgium!I$2+Denmark!I$2+France!I$4+Germany!I$2+Switzerland!I$2+Netherlands!I$2+Poland!I$2</f>
        <v>20335</v>
      </c>
      <c r="J3" s="31">
        <v>30758.190999999999</v>
      </c>
      <c r="K3" s="31">
        <v>8976</v>
      </c>
      <c r="L3" s="31">
        <f>Austria!L$3+Belgium!L$2+Denmark!L$2+France!L$4+Germany!L$2+Switzerland!L$2+Netherlands!L$2+Poland!L$2</f>
        <v>30416.36</v>
      </c>
      <c r="M3" s="31">
        <f>Austria!M$3+Belgium!M$2+Denmark!M$2+France!M$4+Germany!M$2+Switzerland!M$2+Netherlands!M$2+Poland!M$2</f>
        <v>29835.08</v>
      </c>
      <c r="N3" s="31">
        <f>Austria!N$3+Belgium!N$2+Denmark!N$2+France!N$4+Germany!N$2+Switzerland!N$2+Netherlands!N$2+Poland!N$2</f>
        <v>33676</v>
      </c>
      <c r="O3" s="31">
        <f>Austria!O$3+Belgium!O$2+Denmark!O$2+France!O$4+Germany!O$2+Switzerland!O$2+Netherlands!O$2+Poland!O$2</f>
        <v>24966</v>
      </c>
      <c r="P3" s="31">
        <f>Austria!P$3+Belgium!P$2+Denmark!P$2+France!P$4+Germany!P$2+Switzerland!P$2+Netherlands!P$2+Poland!P$2</f>
        <v>22051</v>
      </c>
      <c r="Q3" s="31">
        <f>Austria!Q$3+Belgium!Q$2+Denmark!Q$2+France!Q$4+Germany!Q$2+Switzerland!Q$2+Netherlands!Q$2+Poland!Q$2</f>
        <v>27266</v>
      </c>
      <c r="R3" s="31">
        <f>Austria!R$3+Belgium!R$2+Denmark!R$2+France!R$4+Germany!R$2+Switzerland!R$2+Netherlands!R$2+Poland!R$2</f>
        <v>23558</v>
      </c>
      <c r="S3" s="32">
        <f>Austria!S$3+Belgium!S$2+Denmark!S$2+France!S$4+Germany!S$2+Switzerland!S$2+Netherlands!S$2+Poland!S$2</f>
        <v>36854</v>
      </c>
    </row>
    <row r="4" spans="1:20">
      <c r="A4" s="29" t="s">
        <v>10</v>
      </c>
      <c r="B4" s="30">
        <f t="shared" si="0"/>
        <v>-0.13715753512740569</v>
      </c>
      <c r="C4" s="103">
        <f>E4-'[1]EU variety'!C4</f>
        <v>13287.141709468604</v>
      </c>
      <c r="D4" s="31">
        <f>F4-'[1]EU variety'!D4</f>
        <v>-9505.3007771242847</v>
      </c>
      <c r="E4" s="164">
        <f>Austria!E$4+France!E$5+Germany!E$3+Italy!E$3+Switzerland!E$3+UK!E$2+'Czech Republic'!E$2</f>
        <v>104764.57570946861</v>
      </c>
      <c r="F4" s="31">
        <f>Austria!F$4+France!F$5+Germany!F$3+Italy!F$3+Switzerland!F$3+UK!F$2+'Czech Republic'!F$2</f>
        <v>121417.96443101343</v>
      </c>
      <c r="G4" s="31">
        <f>Austria!G$4+France!G$5+Germany!G$3+Italy!G$3+Switzerland!G$3+UK!G$2+'Czech Republic'!G$2</f>
        <v>118689.32234065933</v>
      </c>
      <c r="H4" s="31">
        <f>Austria!H$4+France!H$5+Germany!H$3+Italy!H$3+Switzerland!H$3+UK!H$2+'Czech Republic'!H$2</f>
        <v>124035.49599999998</v>
      </c>
      <c r="I4" s="31">
        <f>Austria!I$4+France!I$5+Germany!I$3+Italy!I$3+Switzerland!I$3+UK!I$2+'Czech Republic'!I$2</f>
        <v>144483</v>
      </c>
      <c r="J4" s="31">
        <v>156153</v>
      </c>
      <c r="K4" s="31">
        <v>117993</v>
      </c>
      <c r="L4" s="31">
        <f>Austria!L$4+France!L$5+Germany!L$3+Italy!L$3+Switzerland!L$3+UK!L$2+'Czech Republic'!L2</f>
        <v>152804.22</v>
      </c>
      <c r="M4" s="31">
        <f>Austria!M$4+France!M$5+Germany!M$3+Italy!M$3+Switzerland!M$3+UK!M$2+'Czech Republic'!M2</f>
        <v>194811.04</v>
      </c>
      <c r="N4" s="31">
        <f>Austria!N$4+France!N$5+Germany!N$3+Italy!N$3+Switzerland!N$3+UK!N$2+'Czech Republic'!N2</f>
        <v>193718.16</v>
      </c>
      <c r="O4" s="31">
        <f>Austria!O$4+France!O$5+Germany!O$3+Italy!O$3+Switzerland!O$3+UK!O$2+'Czech Republic'!O2</f>
        <v>186588</v>
      </c>
      <c r="P4" s="31">
        <f>Austria!P$4+France!P$5+Germany!P$3+Italy!P$3+Switzerland!P$3+UK!P$2+'Czech Republic'!P2</f>
        <v>152197.344651172</v>
      </c>
      <c r="Q4" s="31">
        <f>Austria!Q$4+France!Q$5+Germany!Q$3+Italy!Q$3+Switzerland!Q$3+UK!Q$2+'Czech Republic'!Q2</f>
        <v>189391.6600789623</v>
      </c>
      <c r="R4" s="31">
        <f>Austria!R$4+France!R$5+Germany!R$3+Italy!R$3+Switzerland!R$3+UK!R$2+'Czech Republic'!R2</f>
        <v>183593</v>
      </c>
      <c r="S4" s="32">
        <f>Austria!S$4+France!S$5+Germany!S$3+Italy!S$3+Switzerland!S$3+UK!S$2+'Czech Republic'!S2</f>
        <v>201977</v>
      </c>
    </row>
    <row r="5" spans="1:20">
      <c r="A5" s="29" t="s">
        <v>35</v>
      </c>
      <c r="B5" s="30" t="str">
        <f t="shared" si="0"/>
        <v/>
      </c>
      <c r="C5" s="103">
        <f>E5-'[1]EU variety'!C5</f>
        <v>0</v>
      </c>
      <c r="D5" s="31">
        <f>F5-'[1]EU variety'!D5</f>
        <v>0</v>
      </c>
      <c r="E5" s="164">
        <f>UK!E$3</f>
        <v>0</v>
      </c>
      <c r="F5" s="31">
        <f>UK!F$3</f>
        <v>0</v>
      </c>
      <c r="G5" s="31">
        <f>UK!G$3</f>
        <v>0</v>
      </c>
      <c r="H5" s="31">
        <f>UK!H$3</f>
        <v>0</v>
      </c>
      <c r="I5" s="31">
        <f>UK!I$3</f>
        <v>0</v>
      </c>
      <c r="J5" s="31">
        <v>0</v>
      </c>
      <c r="K5" s="31">
        <v>49500</v>
      </c>
      <c r="L5" s="31">
        <f>UK!L$3</f>
        <v>0</v>
      </c>
      <c r="M5" s="31">
        <f>UK!M$3</f>
        <v>42000</v>
      </c>
      <c r="N5" s="31">
        <f>UK!N$3</f>
        <v>62000</v>
      </c>
      <c r="O5" s="31">
        <f>UK!O$3</f>
        <v>55000</v>
      </c>
      <c r="P5" s="31">
        <f>UK!P$3</f>
        <v>31000</v>
      </c>
      <c r="Q5" s="31">
        <f>UK!Q$3</f>
        <v>62000</v>
      </c>
      <c r="R5" s="31">
        <f>UK!R$3</f>
        <v>71000</v>
      </c>
      <c r="S5" s="32">
        <f>UK!S$3</f>
        <v>62000</v>
      </c>
    </row>
    <row r="6" spans="1:20">
      <c r="A6" s="29" t="s">
        <v>28</v>
      </c>
      <c r="B6" s="30" t="str">
        <f t="shared" si="0"/>
        <v/>
      </c>
      <c r="C6" s="103">
        <f>E6-'[1]EU variety'!C6</f>
        <v>0</v>
      </c>
      <c r="D6" s="31">
        <f>F6-'[1]EU variety'!D6</f>
        <v>0</v>
      </c>
      <c r="E6" s="164">
        <f>France!E6+UK!E4</f>
        <v>0</v>
      </c>
      <c r="F6" s="31">
        <f>France!F6+UK!F4</f>
        <v>0</v>
      </c>
      <c r="G6" s="31">
        <f>France!G6+UK!G4</f>
        <v>0</v>
      </c>
      <c r="H6" s="31">
        <f>France!H6+UK!H4</f>
        <v>0</v>
      </c>
      <c r="I6" s="31">
        <f>France!I6+UK!I4</f>
        <v>0</v>
      </c>
      <c r="J6" s="31">
        <v>0</v>
      </c>
      <c r="K6" s="31">
        <v>0</v>
      </c>
      <c r="L6" s="31">
        <f>France!L6+UK!L4</f>
        <v>0</v>
      </c>
      <c r="M6" s="31">
        <f>France!M6+UK!M4</f>
        <v>1800</v>
      </c>
      <c r="N6" s="31">
        <f>France!N6+UK!N4</f>
        <v>0</v>
      </c>
      <c r="O6" s="31">
        <f>France!O6+UK!O4</f>
        <v>1900</v>
      </c>
      <c r="P6" s="31">
        <f>France!P6+UK!P4</f>
        <v>1800</v>
      </c>
      <c r="Q6" s="31">
        <f>France!Q6+UK!Q4</f>
        <v>1953</v>
      </c>
      <c r="R6" s="31">
        <f>France!R6+UK!R4</f>
        <v>2493</v>
      </c>
      <c r="S6" s="32">
        <f>France!S6+UK!S4</f>
        <v>5759</v>
      </c>
    </row>
    <row r="7" spans="1:20">
      <c r="A7" s="29" t="s">
        <v>32</v>
      </c>
      <c r="B7" s="30" t="str">
        <f t="shared" si="0"/>
        <v/>
      </c>
      <c r="C7" s="103">
        <f>E7-'[1]EU variety'!C7</f>
        <v>0</v>
      </c>
      <c r="D7" s="31">
        <f>F7-'[1]EU variety'!D7</f>
        <v>0</v>
      </c>
      <c r="E7" s="164">
        <f>Poland!E$3</f>
        <v>0</v>
      </c>
      <c r="F7" s="31">
        <f>Poland!F$3</f>
        <v>0</v>
      </c>
      <c r="G7" s="31">
        <f>Poland!G$3</f>
        <v>0</v>
      </c>
      <c r="H7" s="31">
        <f>Poland!H$3</f>
        <v>0</v>
      </c>
      <c r="I7" s="31">
        <f>Poland!I$3</f>
        <v>0</v>
      </c>
      <c r="J7" s="31">
        <v>0</v>
      </c>
      <c r="K7" s="31">
        <v>0</v>
      </c>
      <c r="L7" s="31">
        <f>Poland!L$3</f>
        <v>0</v>
      </c>
      <c r="M7" s="31">
        <f>Poland!M$3</f>
        <v>0</v>
      </c>
      <c r="N7" s="31">
        <f>Poland!N$3</f>
        <v>2000</v>
      </c>
      <c r="O7" s="31">
        <f>Poland!O$3</f>
        <v>3000</v>
      </c>
      <c r="P7" s="31">
        <f>Poland!P$3</f>
        <v>7000</v>
      </c>
      <c r="Q7" s="31">
        <f>Poland!Q$3</f>
        <v>6000</v>
      </c>
      <c r="R7" s="31">
        <f>Poland!R$3</f>
        <v>15000</v>
      </c>
      <c r="S7" s="32">
        <f>Poland!S$3</f>
        <v>30000</v>
      </c>
    </row>
    <row r="8" spans="1:20">
      <c r="A8" s="29" t="s">
        <v>4</v>
      </c>
      <c r="B8" s="30">
        <f t="shared" si="0"/>
        <v>-0.64798206278026904</v>
      </c>
      <c r="C8" s="103">
        <f>E8-'[1]EU variety'!C8</f>
        <v>-89</v>
      </c>
      <c r="D8" s="31">
        <f>F8-'[1]EU variety'!D8</f>
        <v>-385</v>
      </c>
      <c r="E8" s="164">
        <f>Belgium!E$3+Denmark!E$4+Germany!E$4+Switzerland!E$4+UK!E$5</f>
        <v>157</v>
      </c>
      <c r="F8" s="31">
        <f>Belgium!F$3+Denmark!F$4+Germany!F$4+Switzerland!F$4+UK!F$5</f>
        <v>446</v>
      </c>
      <c r="G8" s="31">
        <f>Belgium!G$3+Denmark!G$4+Germany!G$4+Switzerland!G$4+UK!G$5</f>
        <v>260</v>
      </c>
      <c r="H8" s="31">
        <f>Belgium!H$3+Denmark!H$4+Germany!H$4+Switzerland!H$4+UK!H$5</f>
        <v>123</v>
      </c>
      <c r="I8" s="31">
        <f>Belgium!I$3+Denmark!I$4+Germany!I$4+Switzerland!I$4+UK!I$5</f>
        <v>534</v>
      </c>
      <c r="J8" s="31">
        <v>1232</v>
      </c>
      <c r="K8" s="31">
        <v>11059</v>
      </c>
      <c r="L8" s="31">
        <f>Belgium!L$3+Denmark!L$4+Germany!L$4+Switzerland!L$4+UK!L$5</f>
        <v>1004</v>
      </c>
      <c r="M8" s="31">
        <f>Belgium!M$3+Denmark!M$4+Germany!M$4+Switzerland!M$4+UK!M$5</f>
        <v>21396</v>
      </c>
      <c r="N8" s="31">
        <f>Belgium!N$3+Denmark!N$4+Germany!N$4+Switzerland!N$4+UK!N$5</f>
        <v>15046</v>
      </c>
      <c r="O8" s="31">
        <f>Belgium!O$3+Denmark!O$4+Germany!O$4+Switzerland!O$4+UK!O$5</f>
        <v>25886</v>
      </c>
      <c r="P8" s="31">
        <f>Belgium!P$3+Denmark!P$4+Germany!P$4+Switzerland!P$4+UK!P$5</f>
        <v>16371</v>
      </c>
      <c r="Q8" s="31">
        <f>Belgium!Q$3+Denmark!Q$4+Germany!Q$4+Switzerland!Q$4+UK!Q$5</f>
        <v>28714</v>
      </c>
      <c r="R8" s="31">
        <f>Belgium!R$3+Denmark!R$4+Germany!R$4+Switzerland!R$4+UK!R$5</f>
        <v>25496</v>
      </c>
      <c r="S8" s="32">
        <f>Belgium!S$3+Denmark!S$4+Germany!S$4+Switzerland!S$4+UK!S$5</f>
        <v>28158</v>
      </c>
    </row>
    <row r="9" spans="1:20">
      <c r="A9" s="29" t="s">
        <v>60</v>
      </c>
      <c r="B9" s="30">
        <f t="shared" si="0"/>
        <v>7.2664010151655134E-2</v>
      </c>
      <c r="C9" s="103">
        <f>E9-'[1]EU variety'!C9</f>
        <v>244340.62734542557</v>
      </c>
      <c r="D9" s="31">
        <f>F9-'[1]EU variety'!D9</f>
        <v>6968.6820000000007</v>
      </c>
      <c r="E9" s="164">
        <f>France!E$8+Italy!E$4</f>
        <v>263224.97100000002</v>
      </c>
      <c r="F9" s="31">
        <f>France!F$8+Italy!F$4</f>
        <v>245393.682</v>
      </c>
      <c r="G9" s="31">
        <f>France!G$8+Italy!G$4</f>
        <v>190031.28</v>
      </c>
      <c r="H9" s="31">
        <f>France!H$8+Italy!H$4</f>
        <v>211187.51</v>
      </c>
      <c r="I9" s="31">
        <f>France!I$8+Italy!I$4</f>
        <v>209779</v>
      </c>
      <c r="J9" s="31">
        <v>202161</v>
      </c>
      <c r="K9" s="31">
        <v>178490</v>
      </c>
      <c r="L9" s="31">
        <f>France!L$8+Italy!L$4</f>
        <v>167532.79999999999</v>
      </c>
      <c r="M9" s="31">
        <f>France!M$8+Italy!M$4</f>
        <v>161967.6</v>
      </c>
      <c r="N9" s="31">
        <f>France!N$8+Italy!N$4</f>
        <v>168499</v>
      </c>
      <c r="O9" s="31">
        <f>France!O$8+Italy!O$4</f>
        <v>130888</v>
      </c>
      <c r="P9" s="31">
        <f>France!P$8+Italy!P$4</f>
        <v>108683.90059718442</v>
      </c>
      <c r="Q9" s="31">
        <f>France!Q$8+Italy!Q$4</f>
        <v>135510.80257874046</v>
      </c>
      <c r="R9" s="31">
        <f>France!R$8+Italy!R$4</f>
        <v>112420</v>
      </c>
      <c r="S9" s="32">
        <f>France!S$8+Italy!S$4</f>
        <v>49162</v>
      </c>
    </row>
    <row r="10" spans="1:20">
      <c r="A10" s="29" t="s">
        <v>1</v>
      </c>
      <c r="B10" s="30">
        <f t="shared" si="0"/>
        <v>-0.30937247534534473</v>
      </c>
      <c r="C10" s="103">
        <f>E10-'[1]EU variety'!C10</f>
        <v>-16270.097757286567</v>
      </c>
      <c r="D10" s="31">
        <f>F10-'[1]EU variety'!D10</f>
        <v>-29288.863073282439</v>
      </c>
      <c r="E10" s="164">
        <f>Austria!E$5+Belgium!E$4+Denmark!E$5+France!E$9+Germany!E$5+Italy!E$5+Switzerland!E$5+Netherlands!E$3+Poland!E$4</f>
        <v>115376.70070177142</v>
      </c>
      <c r="F10" s="31">
        <f>Austria!F$5+Belgium!F$4+Denmark!F$5+France!F$9+Germany!F$5+Italy!F$5+Switzerland!F$5+Netherlands!F$3+Poland!F$4</f>
        <v>167060.67537557954</v>
      </c>
      <c r="G10" s="31">
        <f>Austria!G$5+Belgium!G$4+Denmark!G$5+France!G$9+Germany!G$5+Italy!G$5+Switzerland!G$5+Netherlands!G$3+Poland!G$4</f>
        <v>134261.46336996337</v>
      </c>
      <c r="H10" s="31">
        <f>Austria!H$5+Belgium!H$4+Denmark!H$5+France!H$9+Germany!H$5+Italy!H$5+Switzerland!H$5+Netherlands!H$3+Poland!H$4</f>
        <v>117902.8</v>
      </c>
      <c r="I10" s="31">
        <f>Austria!I$5+Belgium!I$4+Denmark!I$5+France!I$9+Germany!I$5+Italy!I$5+Switzerland!I$5+Netherlands!I$3+Poland!I$4</f>
        <v>150098</v>
      </c>
      <c r="J10" s="31">
        <v>148435.13800000001</v>
      </c>
      <c r="K10" s="31">
        <v>108047</v>
      </c>
      <c r="L10" s="31">
        <f>Austria!L$5+Belgium!L$4+Denmark!L$5+France!L$9+Germany!L$5+Italy!L$5+Switzerland!L$5+Netherlands!L$3+Poland!L$4</f>
        <v>157702.28</v>
      </c>
      <c r="M10" s="31">
        <f>Austria!M$5+Belgium!M$4+Denmark!M$5+France!M$9+Germany!M$5+Italy!M$5+Switzerland!M$5+Netherlands!M$3+Poland!M$4</f>
        <v>177994.64</v>
      </c>
      <c r="N10" s="31">
        <f>Austria!N$5+Belgium!N$4+Denmark!N$5+France!N$9+Germany!N$5+Italy!N$5+Switzerland!N$5+Netherlands!N$3+Poland!N$4</f>
        <v>182374.12</v>
      </c>
      <c r="O10" s="31">
        <f>Austria!O$5+Belgium!O$4+Denmark!O$5+France!O$9+Germany!O$5+Italy!O$5+Switzerland!O$5+Netherlands!O$3+Poland!O$4</f>
        <v>150217</v>
      </c>
      <c r="P10" s="31">
        <f>Austria!P$5+Belgium!P$4+Denmark!P$5+France!P$9+Germany!P$5+Italy!P$5+Switzerland!P$5+Netherlands!P$3+Poland!P$4</f>
        <v>143373.08291504564</v>
      </c>
      <c r="Q10" s="31">
        <f>Austria!Q$5+Belgium!Q$4+Denmark!Q$5+France!Q$9+Germany!Q$5+Italy!Q$5+Switzerland!Q$5+Netherlands!Q$3+Poland!Q$4</f>
        <v>176468.32867743066</v>
      </c>
      <c r="R10" s="31">
        <f>Austria!R$5+Belgium!R$4+Denmark!R$5+France!R$9+Germany!R$5+Italy!R$5+Switzerland!R$5+Netherlands!R$3+Poland!R$4</f>
        <v>135968</v>
      </c>
      <c r="S10" s="32">
        <f>Austria!S$5+Belgium!S$4+Denmark!S$5+France!S$9+Germany!S$5+Italy!S$5+Switzerland!S$5+Netherlands!S$3+Poland!S$4</f>
        <v>217993.06</v>
      </c>
    </row>
    <row r="11" spans="1:20">
      <c r="A11" s="29" t="s">
        <v>11</v>
      </c>
      <c r="B11" s="30">
        <f t="shared" si="0"/>
        <v>-3.9042098444659334E-2</v>
      </c>
      <c r="C11" s="103">
        <f>E11-'[1]EU variety'!C11</f>
        <v>14598.641502123413</v>
      </c>
      <c r="D11" s="31">
        <f>F11-'[1]EU variety'!D11</f>
        <v>-13964.230331032129</v>
      </c>
      <c r="E11" s="164">
        <f>Austria!E$7+Denmark!E$6+France!E$10+Germany!E$6+Italy!E$6+Spain!E$2</f>
        <v>152755.03567086245</v>
      </c>
      <c r="F11" s="31">
        <f>Austria!F$7+Denmark!F$6+France!F$10+Germany!F$6+Italy!F$6+Spain!F$2</f>
        <v>158961.21507885371</v>
      </c>
      <c r="G11" s="31">
        <f>Austria!G$7+Denmark!G$6+France!G$10+Germany!G$6+Italy!G$6+Spain!G$2</f>
        <v>165009.03048593231</v>
      </c>
      <c r="H11" s="31">
        <f>Austria!H$7+Denmark!H$6+France!H$10+Germany!H$6+Italy!H$6+Spain!H$2</f>
        <v>167442.6871643303</v>
      </c>
      <c r="I11" s="31">
        <f>Austria!I$7+Denmark!I$6+France!I$10+Germany!I$6+Italy!I$6+Spain!I$2</f>
        <v>177379.05948106328</v>
      </c>
      <c r="J11" s="31">
        <v>180181</v>
      </c>
      <c r="K11" s="31">
        <v>150764</v>
      </c>
      <c r="L11" s="31">
        <f>Austria!L$7+Denmark!L$6+France!L$10+Germany!L$6+Italy!L$6+Spain!L$2</f>
        <v>177142.25233051719</v>
      </c>
      <c r="M11" s="31">
        <f>Austria!M$7+Denmark!M$6+France!M$10+Germany!M$6+Italy!M$6+Spain!M$2</f>
        <v>198659.5739788347</v>
      </c>
      <c r="N11" s="31">
        <f>Austria!N$7+Denmark!N$6+France!N$10+Germany!N$6+Italy!N$6+Spain!N$2</f>
        <v>186887.57774285146</v>
      </c>
      <c r="O11" s="31">
        <f>Austria!O$7+Denmark!O$6+France!O$10+Germany!O$6+Italy!O$6+Spain!O$2</f>
        <v>185200.5378888502</v>
      </c>
      <c r="P11" s="31">
        <f>Austria!P$7+Denmark!P$6+France!P$10+Germany!P$6+Italy!P$6+Spain!P$2</f>
        <v>122542.94120919117</v>
      </c>
      <c r="Q11" s="31">
        <f>Austria!Q$7+Denmark!Q$6+France!Q$10+Germany!Q$6+Italy!Q$6+Spain!Q$2</f>
        <v>163377.16784279092</v>
      </c>
      <c r="R11" s="31">
        <f>Austria!R$7+Denmark!R$6+France!R$10+Germany!R$6+Italy!R$6+Spain!R$2</f>
        <v>163965</v>
      </c>
      <c r="S11" s="32">
        <f>Austria!S$7+Denmark!S$6+France!S$10+Germany!S$6+Italy!S$6+Spain!S$2</f>
        <v>154243.79999999999</v>
      </c>
    </row>
    <row r="12" spans="1:20">
      <c r="A12" s="29" t="s">
        <v>8</v>
      </c>
      <c r="B12" s="30">
        <f t="shared" si="0"/>
        <v>-7.3555331194912754E-2</v>
      </c>
      <c r="C12" s="103">
        <f>E12-'[1]EU variety'!C12</f>
        <v>150963.01461968425</v>
      </c>
      <c r="D12" s="31">
        <f>F12-'[1]EU variety'!D12</f>
        <v>56738.789704464551</v>
      </c>
      <c r="E12" s="164">
        <f>Austria!E$8+'Czech Republic'!E$3+Denmark!E$7+France!E$11+Germany!E$7+Italy!E$7+Spain!E$3+Switzerland!E$6+UK!E$6+Poland!E$5</f>
        <v>447842.68110539869</v>
      </c>
      <c r="F12" s="31">
        <f>Austria!F$8+'Czech Republic'!F$3+Denmark!F$7+France!F$11+Germany!F$7+Italy!F$7+Spain!F$3+Switzerland!F$6+UK!F$6+Poland!F$5</f>
        <v>483399.2748676709</v>
      </c>
      <c r="G12" s="31">
        <f>Austria!G$8+'Czech Republic'!G$3+Denmark!G$7+France!G$11+Germany!G$7+Italy!G$7+Spain!G$3+Switzerland!G$6+UK!G$6+Poland!G$5</f>
        <v>585802.71871812432</v>
      </c>
      <c r="H12" s="31">
        <f>Austria!H$8+'Czech Republic'!H$3+Denmark!H$7+France!H$11+Germany!H$7+Italy!H$7+Spain!H$3+Switzerland!H$6+UK!H$6+Poland!H$5</f>
        <v>500308.06432320515</v>
      </c>
      <c r="I12" s="31">
        <f>Austria!I$8+'Czech Republic'!I$3+Denmark!I$7+France!I$11+Germany!I$7+Italy!I$7+Spain!I$3+Switzerland!I$6+UK!I$6+Poland!I$5</f>
        <v>493023.39793330937</v>
      </c>
      <c r="J12" s="31">
        <v>492377</v>
      </c>
      <c r="K12" s="31">
        <v>388609</v>
      </c>
      <c r="L12" s="31">
        <f>Austria!L$8+'Czech Republic'!L$3+Denmark!L$7+France!L$11+Germany!L$7+Italy!L$7+Spain!L$3+Switzerland!L$6+UK!L$6+Poland!L$5</f>
        <v>391028.47328147391</v>
      </c>
      <c r="M12" s="31">
        <f>Austria!M$8+'Czech Republic'!M$3+Denmark!M$7+France!M$11+Germany!M$7+Italy!M$7+Spain!M$3+Switzerland!M$6+UK!M$6+Poland!M$5</f>
        <v>420750.23170480563</v>
      </c>
      <c r="N12" s="31">
        <f>Austria!N$8+'Czech Republic'!N$3+Denmark!N$7+France!N$11+Germany!N$7+Italy!N$7+Spain!N$3+Switzerland!N$6+UK!N$6+Poland!N$5</f>
        <v>394981.40169797046</v>
      </c>
      <c r="O12" s="31">
        <f>Austria!O$8+'Czech Republic'!O$3+Denmark!O$7+France!O$11+Germany!O$7+Italy!O$7+Spain!O$3+Switzerland!O$6+UK!O$6+Poland!O$5</f>
        <v>392569.9426604443</v>
      </c>
      <c r="P12" s="31">
        <f>Austria!P$8+'Czech Republic'!P$3+Denmark!P$7+France!P$11+Germany!P$7+Italy!P$7+Spain!P$3+Switzerland!P$6+UK!P$6+Poland!P$5</f>
        <v>300189.64208136429</v>
      </c>
      <c r="Q12" s="31">
        <f>Austria!Q$8+'Czech Republic'!Q$3+Denmark!Q$7+France!Q$11+Germany!Q$7+Italy!Q$7+Spain!Q$3+Switzerland!Q$6+UK!Q$6+Poland!Q$5</f>
        <v>344280.71936337167</v>
      </c>
      <c r="R12" s="31">
        <f>Austria!R$8+'Czech Republic'!R$3+Denmark!R$7+France!R$11+Germany!R$7+Italy!R$7+Spain!R$3+Switzerland!R$6+UK!R$6+Poland!R$5</f>
        <v>355528</v>
      </c>
      <c r="S12" s="32">
        <f>Austria!S$8+'Czech Republic'!S$3+Denmark!S$7+France!S$11+Germany!S$7+Italy!S$7+Spain!S$3+Switzerland!S$6+UK!S$6+Poland!S$5</f>
        <v>340599.79</v>
      </c>
    </row>
    <row r="13" spans="1:20">
      <c r="A13" s="29" t="s">
        <v>13</v>
      </c>
      <c r="B13" s="30">
        <f t="shared" si="0"/>
        <v>-0.17652665483468089</v>
      </c>
      <c r="C13" s="103">
        <f>E13-'[1]EU variety'!C13</f>
        <v>24994</v>
      </c>
      <c r="D13" s="31">
        <f>F13-'[1]EU variety'!D13</f>
        <v>30202</v>
      </c>
      <c r="E13" s="164">
        <f>Austria!E$9+Belgium!E$5+'Czech Republic'!E$4+Denmark!E$8+Germany!E$8+Italy!E$8+Poland!E$6</f>
        <v>25055</v>
      </c>
      <c r="F13" s="31">
        <f>Austria!F$9+Belgium!F$5+'Czech Republic'!F$4+Denmark!F$8+Germany!F$8+Italy!F$8+Poland!F$6</f>
        <v>30426</v>
      </c>
      <c r="G13" s="31">
        <f>Austria!G$9+Belgium!G$5+'Czech Republic'!G$4+Denmark!G$8+Germany!G$8+Italy!G$8+Poland!G$6</f>
        <v>90303</v>
      </c>
      <c r="H13" s="31">
        <f>Austria!H$9+Belgium!H$5+'Czech Republic'!H$4+Denmark!H$8+Germany!H$8+Italy!H$8+Poland!H$6</f>
        <v>76431</v>
      </c>
      <c r="I13" s="31">
        <f>Austria!I$9+Belgium!I$5+'Czech Republic'!I$4+Denmark!I$8+Germany!I$8+Italy!I$8+Poland!I$6</f>
        <v>80356</v>
      </c>
      <c r="J13" s="31">
        <v>97443</v>
      </c>
      <c r="K13" s="31">
        <v>96051</v>
      </c>
      <c r="L13" s="31">
        <f>Austria!L$9+Belgium!L$5+'Czech Republic'!L$4+Denmark!L$8+Germany!L$8+Italy!L$8+Poland!L$6</f>
        <v>102454</v>
      </c>
      <c r="M13" s="31">
        <f>Austria!M$9+Belgium!M$5+'Czech Republic'!M$4+Denmark!M$8+Germany!M$8+Italy!M$8+Poland!M$6</f>
        <v>102799</v>
      </c>
      <c r="N13" s="31">
        <f>Austria!N$9+Belgium!N$5+'Czech Republic'!N$4+Denmark!N$8+Germany!N$8+Italy!N$8+Poland!N$6</f>
        <v>105393</v>
      </c>
      <c r="O13" s="31">
        <f>Austria!O$9+Belgium!O$5+'Czech Republic'!O$4+Denmark!O$8+Germany!O$8+Italy!O$8+Poland!O$6</f>
        <v>104599</v>
      </c>
      <c r="P13" s="31">
        <f>Austria!P$9+Belgium!P$5+'Czech Republic'!P$4+Denmark!P$8+Germany!P$8+Italy!P$8+Poland!P$6</f>
        <v>107428.19961029508</v>
      </c>
      <c r="Q13" s="31">
        <f>Austria!Q$9+Belgium!Q$5+'Czech Republic'!Q$4+Denmark!Q$8+Germany!Q$8+Italy!Q$8+Poland!Q$6</f>
        <v>90656.111993791186</v>
      </c>
      <c r="R13" s="31">
        <f>Austria!R$9+Belgium!R$5+'Czech Republic'!R$4+Denmark!R$8+Germany!R$8+Italy!R$8+Poland!R$6</f>
        <v>39756</v>
      </c>
      <c r="S13" s="32">
        <f>Austria!S$9+Belgium!S$5+'Czech Republic'!S$4+Denmark!S$8+Germany!S$8+Italy!S$8+Poland!S$6</f>
        <v>35852.75</v>
      </c>
    </row>
    <row r="14" spans="1:20">
      <c r="A14" s="29" t="s">
        <v>2</v>
      </c>
      <c r="B14" s="30">
        <f t="shared" si="0"/>
        <v>0.16271562886090263</v>
      </c>
      <c r="C14" s="103">
        <f>E14-'[1]EU variety'!C14</f>
        <v>335397.33860571904</v>
      </c>
      <c r="D14" s="31">
        <f>F14-'[1]EU variety'!D14</f>
        <v>136166.40289942047</v>
      </c>
      <c r="E14" s="164">
        <f>Austria!E$10+Belgium!E$6+'Czech Republic'!E$5+France!E$12+Germany!E$9+Italy!E$9+Spain!E$4+Switzerland!E$8+Netherlands!E$4+Poland!E$7</f>
        <v>1110134.8639827212</v>
      </c>
      <c r="F14" s="31">
        <f>Austria!F$10+Belgium!F$6+'Czech Republic'!F$5+France!F$12+Germany!F$9+Italy!F$9+Spain!F$4+Switzerland!F$8+Netherlands!F$4+Poland!F$7</f>
        <v>954777.622685184</v>
      </c>
      <c r="G14" s="31">
        <f>Austria!G$10+Belgium!G$6+'Czech Republic'!G$5+France!G$12+Germany!G$9+Italy!G$9+Spain!G$4+Switzerland!G$8+Netherlands!G$4+Poland!G$7</f>
        <v>1173574.7999318654</v>
      </c>
      <c r="H14" s="31">
        <f>Austria!H$10+Belgium!H$6+'Czech Republic'!H$5+France!H$12+Germany!H$9+Italy!H$9+Spain!H$4+Switzerland!H$8+Netherlands!H$4+Poland!H$7</f>
        <v>974408.19212685002</v>
      </c>
      <c r="I14" s="31">
        <f>Austria!I$10+Belgium!I$6+'Czech Republic'!I$5+France!I$12+Germany!I$9+Italy!I$9+Spain!I$4+Switzerland!I$8+Netherlands!I$4+Poland!I$7</f>
        <v>1173279.2539928956</v>
      </c>
      <c r="J14" s="31">
        <v>1160226.358</v>
      </c>
      <c r="K14" s="31">
        <v>909613</v>
      </c>
      <c r="L14" s="31">
        <f>Austria!L$10+Belgium!L$6+'Czech Republic'!L$5+France!L$12+Germany!L$9+Italy!L$9+Spain!L$4+Switzerland!L$8+Netherlands!L$4+Poland!L$7</f>
        <v>1314858.1637050812</v>
      </c>
      <c r="M14" s="31">
        <f>Austria!M$10+Belgium!M$6+'Czech Republic'!M$5+France!M$12+Germany!M$9+Italy!M$9+Spain!M$4+Switzerland!M$8+Netherlands!M$4+Poland!M$7</f>
        <v>1335442.3434393425</v>
      </c>
      <c r="N14" s="31">
        <f>Austria!N$10+Belgium!N$6+'Czech Republic'!N$5+France!N$12+Germany!N$9+Italy!N$9+Spain!N$4+Switzerland!N$8+Netherlands!N$4+Poland!N$7</f>
        <v>1404834.9183767405</v>
      </c>
      <c r="O14" s="31">
        <f>Austria!O$10+Belgium!O$6+'Czech Republic'!O$5+France!O$12+Germany!O$9+Italy!O$9+Spain!O$4+Switzerland!O$8+Netherlands!O$4+Poland!O$7</f>
        <v>1292511.1590655383</v>
      </c>
      <c r="P14" s="31">
        <f>Austria!P$10+Belgium!P$6+'Czech Republic'!P$5+France!P$12+Germany!P$9+Italy!P$9+Spain!P$4+Switzerland!P$8+Netherlands!P$4+Poland!P$7</f>
        <v>1149090.0206910041</v>
      </c>
      <c r="Q14" s="31">
        <f>Austria!Q$10+Belgium!Q$6+'Czech Republic'!Q$5+France!Q$12+Germany!Q$9+Italy!Q$9+Spain!Q$4+Switzerland!Q$8+Netherlands!Q$4+Poland!Q$7</f>
        <v>1299556.233090925</v>
      </c>
      <c r="R14" s="31">
        <f>Austria!R$10+Belgium!R$6+'Czech Republic'!R$5+France!R$12+Germany!R$9+Italy!R$9+Spain!R$4+Switzerland!R$8+Netherlands!R$4+Poland!R$7</f>
        <v>1264059</v>
      </c>
      <c r="S14" s="32">
        <f>Austria!S$10+Belgium!S$6+'Czech Republic'!S$5+France!S$12+Germany!S$9+Italy!S$9+Spain!S$4+Switzerland!S$8+Netherlands!S$4+Poland!S$7</f>
        <v>1308462.29</v>
      </c>
    </row>
    <row r="15" spans="1:20">
      <c r="A15" s="29" t="s">
        <v>16</v>
      </c>
      <c r="B15" s="30">
        <f t="shared" si="0"/>
        <v>-0.18761070479177899</v>
      </c>
      <c r="C15" s="103">
        <f>E15-'[1]EU variety'!C15</f>
        <v>49222.679559720011</v>
      </c>
      <c r="D15" s="31">
        <f>F15-'[1]EU variety'!D15</f>
        <v>-7863.3994311160932</v>
      </c>
      <c r="E15" s="164">
        <f>Austria!E$11+France!E$14+Italy!E$10+Spain!E$5+Switzerland!E$9+Denmark!E$9</f>
        <v>163725.93935319802</v>
      </c>
      <c r="F15" s="31">
        <f>Austria!F$11+France!F$14+Italy!F$10+Spain!F$5+Switzerland!F$9+Denmark!F$9</f>
        <v>201536.30817012911</v>
      </c>
      <c r="G15" s="31">
        <f>Austria!G$11+France!G$14+Italy!G$10+Spain!G$5+Switzerland!G$9+Denmark!G$9</f>
        <v>184709.73423062943</v>
      </c>
      <c r="H15" s="31">
        <f>Austria!H$11+France!H$14+Italy!H$10+Spain!H$5+Switzerland!H$9+Denmark!H$9</f>
        <v>200701.39298359735</v>
      </c>
      <c r="I15" s="31">
        <f>Austria!I$11+France!I$14+Italy!I$10+Spain!I$5+Switzerland!I$9+Denmark!I$9</f>
        <v>180209.13792477964</v>
      </c>
      <c r="J15" s="31">
        <v>197039</v>
      </c>
      <c r="K15" s="31">
        <v>201348</v>
      </c>
      <c r="L15" s="31">
        <f>Austria!L$11+France!L$14+Italy!L$10+Spain!L$5+Switzerland!L$9</f>
        <v>176921.27023815524</v>
      </c>
      <c r="M15" s="31">
        <f>Austria!M$11+France!M$14+Italy!M$10+Spain!M$5+Switzerland!M$9</f>
        <v>209174.93969144335</v>
      </c>
      <c r="N15" s="31">
        <f>Austria!N$11+France!N$14+Italy!N$10+Spain!N$5+Switzerland!N$9</f>
        <v>202310.76860896731</v>
      </c>
      <c r="O15" s="31">
        <f>Austria!O$11+France!O$14+Italy!O$10+Spain!O$5+Switzerland!O$9</f>
        <v>199942.58674786903</v>
      </c>
      <c r="P15" s="31">
        <f>Austria!P$11+France!P$14+Italy!P$10+Spain!P$5+Switzerland!P$9</f>
        <v>132081.69403624372</v>
      </c>
      <c r="Q15" s="31">
        <f>Austria!Q$11+France!Q$14+Italy!Q$10+Spain!Q$5+Switzerland!Q$9</f>
        <v>177133.67660738155</v>
      </c>
      <c r="R15" s="31">
        <f>Austria!R$11+France!R$14+Italy!R$10+Spain!R$5+Switzerland!R$9</f>
        <v>163435</v>
      </c>
      <c r="S15" s="32">
        <f>Austria!S$11+France!S$14+Italy!S$10+Spain!S$5+Switzerland!S$9</f>
        <v>166516.37</v>
      </c>
    </row>
    <row r="16" spans="1:20">
      <c r="A16" s="29" t="s">
        <v>14</v>
      </c>
      <c r="B16" s="30">
        <f t="shared" si="0"/>
        <v>-0.68128654970760238</v>
      </c>
      <c r="C16" s="103">
        <f>E16-'[1]EU variety'!C16</f>
        <v>-715</v>
      </c>
      <c r="D16" s="31">
        <f>F16-'[1]EU variety'!D16</f>
        <v>-1093</v>
      </c>
      <c r="E16" s="164">
        <f>Denmark!E$10+Germany!E$10</f>
        <v>872</v>
      </c>
      <c r="F16" s="31">
        <f>Denmark!F$10+Germany!F$10</f>
        <v>2736</v>
      </c>
      <c r="G16" s="31">
        <f>Denmark!G$10+Germany!G$10</f>
        <v>2299</v>
      </c>
      <c r="H16" s="31">
        <f>Denmark!H$10+Germany!H$10</f>
        <v>3098</v>
      </c>
      <c r="I16" s="31">
        <f>Denmark!I$10+Germany!I$10</f>
        <v>4363</v>
      </c>
      <c r="J16" s="31">
        <v>4155</v>
      </c>
      <c r="K16" s="31">
        <v>1154</v>
      </c>
      <c r="L16" s="31">
        <f>Denmark!L$10+Germany!L$10</f>
        <v>4364</v>
      </c>
      <c r="M16" s="31">
        <f>Denmark!M$10+Germany!M$10</f>
        <v>5991</v>
      </c>
      <c r="N16" s="31">
        <f>Denmark!N$10+Germany!N$10</f>
        <v>4738</v>
      </c>
      <c r="O16" s="31">
        <f>Denmark!O$10+Germany!O$10</f>
        <v>1563</v>
      </c>
      <c r="P16" s="31">
        <f>Denmark!P$10+Germany!P$10</f>
        <v>2558</v>
      </c>
      <c r="Q16" s="31">
        <f>Denmark!Q$10+Germany!Q$10</f>
        <v>5741</v>
      </c>
      <c r="R16" s="31">
        <f>Denmark!R$10+Germany!R$10</f>
        <v>5666</v>
      </c>
      <c r="S16" s="32">
        <f>Denmark!S$10+Germany!S$10</f>
        <v>7432</v>
      </c>
    </row>
    <row r="17" spans="1:105">
      <c r="A17" s="29" t="s">
        <v>9</v>
      </c>
      <c r="B17" s="30">
        <f t="shared" si="0"/>
        <v>-0.23182965526024413</v>
      </c>
      <c r="C17" s="103">
        <f>E17-'[1]EU variety'!C17</f>
        <v>180474.08764413669</v>
      </c>
      <c r="D17" s="31">
        <f>F17-'[1]EU variety'!D17</f>
        <v>230093.67920342568</v>
      </c>
      <c r="E17" s="164">
        <f>Austria!E$12+'Czech Republic'!E$6+Denmark!E$11+France!E$16+Germany!E$11+Italy!E$11+Switzerland!E$10+Poland!E$8</f>
        <v>188903.54764413668</v>
      </c>
      <c r="F17" s="31">
        <f>Austria!F$12+'Czech Republic'!F$6+Denmark!F$11+France!F$16+Germany!F$11+Italy!F$11+Switzerland!F$10+Poland!F$8</f>
        <v>245913.61660561661</v>
      </c>
      <c r="G17" s="31">
        <f>Austria!G$12+'Czech Republic'!G$6+Denmark!G$11+France!G$16+Germany!G$11+Italy!G$11+Switzerland!G$10+Poland!G$8</f>
        <v>328090.21550671553</v>
      </c>
      <c r="H17" s="31">
        <f>Austria!H$12+'Czech Republic'!H$6+Denmark!H$11+France!H$16+Germany!H$11+Italy!H$11+Switzerland!H$10+Poland!H$8</f>
        <v>271211.5</v>
      </c>
      <c r="I17" s="31">
        <f>Austria!I$12+'Czech Republic'!I$6+Denmark!I$11+France!I$16+Germany!I$11+Italy!I$11+Switzerland!I$10+Poland!I$8</f>
        <v>228528</v>
      </c>
      <c r="J17" s="31">
        <v>385079</v>
      </c>
      <c r="K17" s="31">
        <v>203472</v>
      </c>
      <c r="L17" s="31">
        <f>Austria!L$12+'Czech Republic'!L$6+Denmark!L$11+France!L$16+Germany!L$11+Italy!L$11+Switzerland!L$10+Poland!L$8</f>
        <v>352135.52</v>
      </c>
      <c r="M17" s="31">
        <f>Austria!M$12+'Czech Republic'!M$6+Denmark!M$11+France!M$16+Germany!M$11+Italy!M$11+Switzerland!M$10+Poland!M$8</f>
        <v>419280.42</v>
      </c>
      <c r="N17" s="31">
        <f>Austria!N$12+'Czech Republic'!N$6+Denmark!N$11+France!N$16+Germany!N$11+Italy!N$11+Switzerland!N$10+Poland!N$8</f>
        <v>392405.96</v>
      </c>
      <c r="O17" s="31">
        <f>Austria!O$12+'Czech Republic'!O$6+Denmark!O$11+France!O$16+Germany!O$11+Italy!O$11+Switzerland!O$10+Poland!O$8</f>
        <v>358207</v>
      </c>
      <c r="P17" s="31">
        <f>Austria!P$12+'Czech Republic'!P$6+Denmark!P$11+France!P$16+Germany!P$11+Italy!P$11+Switzerland!P$10+Poland!P$8</f>
        <v>329886.28925975872</v>
      </c>
      <c r="Q17" s="31">
        <f>Austria!Q$12+'Czech Republic'!Q$6+Denmark!Q$11+France!Q$16+Germany!Q$11+Italy!Q$11+Switzerland!Q$10+Poland!Q$8</f>
        <v>276888.0689363752</v>
      </c>
      <c r="R17" s="31">
        <f>Austria!R$12+'Czech Republic'!R$6+Denmark!R$11+France!R$16+Germany!R$11+Italy!R$11+Switzerland!R$10+Poland!R$8</f>
        <v>164328</v>
      </c>
      <c r="S17" s="32">
        <f>Austria!S$12+'Czech Republic'!S$6+Denmark!S$11+France!S$16+Germany!S$11+Italy!S$11+Switzerland!S$10+Poland!S$8</f>
        <v>195528.9</v>
      </c>
      <c r="T17" s="31"/>
    </row>
    <row r="18" spans="1:105">
      <c r="A18" s="29" t="s">
        <v>26</v>
      </c>
      <c r="B18" s="30">
        <f t="shared" si="0"/>
        <v>-0.13548497298813211</v>
      </c>
      <c r="C18" s="103">
        <f>E18-'[1]EU variety'!C18</f>
        <v>63080.500922883628</v>
      </c>
      <c r="D18" s="31">
        <f>F18-'[1]EU variety'!D18</f>
        <v>53049.291233384283</v>
      </c>
      <c r="E18" s="164">
        <f>Austria!E$13+Belgium!E$7+'Czech Republic'!E$7+Denmark!E$13+France!E$18+Germany!E$13+Italy!E$12+Switzerland!E$11+Netherlands!E$5+UK!E$7+Poland!E$9</f>
        <v>195556.69603104214</v>
      </c>
      <c r="F18" s="31">
        <f>Austria!F$13+Belgium!F$7+'Czech Republic'!F$7+Denmark!F$13+France!F$18+Germany!F$13+Italy!F$12+Switzerland!F$11+Netherlands!F$5+UK!F$7+Poland!F$9</f>
        <v>226203.92927925079</v>
      </c>
      <c r="G18" s="31">
        <f>Austria!G$13+Belgium!G$7+'Czech Republic'!G$7+Denmark!G$13+France!G$18+Germany!G$13+Italy!G$12+Switzerland!G$11+Netherlands!G$5+UK!G$7+Poland!G$9</f>
        <v>296344.17191697191</v>
      </c>
      <c r="H18" s="31">
        <f>Austria!H$13+Belgium!H$7+'Czech Republic'!H$7+Denmark!H$13+France!H$18+Germany!H$13+Italy!H$12+Switzerland!H$11+Netherlands!H$5+UK!H$7+Poland!H$9</f>
        <v>243953.3</v>
      </c>
      <c r="I18" s="31">
        <f>Austria!I$13+Belgium!I$7+'Czech Republic'!I$7+Denmark!I$13+France!I$18+Germany!I$13+Italy!I$12+Switzerland!I$11+Netherlands!I$5+UK!I$7+Poland!I$9</f>
        <v>267979</v>
      </c>
      <c r="J18" s="31">
        <v>334563.01199999999</v>
      </c>
      <c r="K18" s="31">
        <v>147882</v>
      </c>
      <c r="L18" s="31">
        <f>Austria!L$13+Belgium!L$7+'Czech Republic'!L$7+Denmark!L$13+France!L$18+Germany!L$13+Italy!L$12+Switzerland!L$11+Netherlands!L$5+UK!L$7+Poland!L$9</f>
        <v>316682.2</v>
      </c>
      <c r="M18" s="31">
        <f>Austria!M$13+Belgium!M$7+'Czech Republic'!M$7+Denmark!M$13+France!M$18+Germany!M$13+Italy!M$12+Switzerland!M$11+Netherlands!M$5+UK!M$7+Poland!M$9</f>
        <v>351287.68</v>
      </c>
      <c r="N18" s="31">
        <f>Austria!N$13+Belgium!N$7+'Czech Republic'!N$7+Denmark!N$13+France!N$18+Germany!N$13+Italy!N$12+Switzerland!N$11+Netherlands!N$5+UK!N$7+Poland!N$9</f>
        <v>356959.36</v>
      </c>
      <c r="O18" s="31">
        <f>Austria!O$13+Belgium!O$7+'Czech Republic'!O$7+Denmark!O$13+France!O$18+Germany!O$13+Italy!O$12+Switzerland!O$11+Netherlands!O$5+UK!O$7+Poland!O$9</f>
        <v>310373</v>
      </c>
      <c r="P18" s="31">
        <f>Austria!P$13+Belgium!P$7+'Czech Republic'!P$7+Denmark!P$13+France!P$18+Germany!P$13+Italy!P$12+Switzerland!P$11+Netherlands!P$5+UK!P$7+Poland!P$9</f>
        <v>291170.03922138247</v>
      </c>
      <c r="Q18" s="31">
        <f>Austria!Q$13+Belgium!Q$7+'Czech Republic'!Q$7+Denmark!Q$13+France!Q$18+Germany!Q$13+Italy!Q$12+Switzerland!Q$11+Netherlands!Q$5+UK!Q$7+Poland!Q$9</f>
        <v>329652.02471480746</v>
      </c>
      <c r="R18" s="31">
        <f>Austria!R$13+Belgium!R$7+'Czech Republic'!R$7+Denmark!R$13+France!R$18+Germany!R$13+Italy!R$12+Switzerland!R$11+Netherlands!R$5+UK!R$7+Poland!R$9</f>
        <v>250782</v>
      </c>
      <c r="S18" s="32">
        <f>Austria!S$13+Belgium!S$7+'Czech Republic'!S$7+Denmark!S$13+France!S$18+Germany!S$13+Italy!S$12+Switzerland!S$11+Netherlands!S$5+UK!S$7+Poland!S$9</f>
        <v>388660</v>
      </c>
      <c r="T18" s="31"/>
    </row>
    <row r="19" spans="1:105">
      <c r="A19" s="29" t="s">
        <v>25</v>
      </c>
      <c r="B19" s="30">
        <f t="shared" si="0"/>
        <v>-0.17217183660533775</v>
      </c>
      <c r="C19" s="103">
        <f>E19-'[1]EU variety'!C19</f>
        <v>-3024.207121059073</v>
      </c>
      <c r="D19" s="31">
        <f>F19-'[1]EU variety'!D19</f>
        <v>-5996.7313349851174</v>
      </c>
      <c r="E19" s="164">
        <f>Austria!E$14+Belgium!E$8+Denmark!E$14+Germany!E$14+UK!E$8</f>
        <v>34999.701304787202</v>
      </c>
      <c r="F19" s="31">
        <f>Austria!F$14+Belgium!F$8+Denmark!F$14+Germany!F$14+UK!F$8</f>
        <v>42278.944897530986</v>
      </c>
      <c r="G19" s="31">
        <f>Austria!G$14+Belgium!G$8+Denmark!G$14+Germany!G$14+UK!G$8</f>
        <v>56554</v>
      </c>
      <c r="H19" s="31">
        <f>Austria!H$14+Belgium!H$8+Denmark!H$14+Germany!H$14+UK!H$8</f>
        <v>47509</v>
      </c>
      <c r="I19" s="31">
        <f>Austria!I$14+Belgium!I$8+Denmark!I$14+Germany!I$14+UK!I$8</f>
        <v>73208</v>
      </c>
      <c r="J19" s="31">
        <v>101167</v>
      </c>
      <c r="K19" s="31">
        <v>34438</v>
      </c>
      <c r="L19" s="31">
        <f>Austria!L$14+Belgium!L$8+Denmark!L$14+Germany!L$14+UK!L$8</f>
        <v>101862.56</v>
      </c>
      <c r="M19" s="31">
        <f>Austria!M$14+Belgium!M$8+Denmark!M$14+Germany!M$14+UK!M$8</f>
        <v>115422.8</v>
      </c>
      <c r="N19" s="31">
        <f>Austria!N$14+Belgium!N$8+Denmark!N$14+Germany!N$14+UK!N$8</f>
        <v>140802.32</v>
      </c>
      <c r="O19" s="31">
        <f>Austria!O$14+Belgium!O$8+Denmark!O$14+Germany!O$14+UK!O$8</f>
        <v>97377</v>
      </c>
      <c r="P19" s="31">
        <f>Austria!P$14+Belgium!P$8+Denmark!P$14+Germany!P$14+UK!P$8</f>
        <v>117191</v>
      </c>
      <c r="Q19" s="31">
        <f>Austria!Q$14+Belgium!Q$8+Denmark!Q$14+Germany!Q$14+UK!Q$8</f>
        <v>121157</v>
      </c>
      <c r="R19" s="31">
        <f>Austria!R$14+Belgium!R$8+Denmark!R$14+Germany!R$14+UK!R$8</f>
        <v>101491</v>
      </c>
      <c r="S19" s="32">
        <f>Austria!S$14+Belgium!S$8+Denmark!S$14+Germany!S$14+UK!S$8</f>
        <v>132300</v>
      </c>
    </row>
    <row r="20" spans="1:105">
      <c r="A20" s="29" t="s">
        <v>49</v>
      </c>
      <c r="B20" s="30" t="str">
        <f t="shared" si="0"/>
        <v/>
      </c>
      <c r="C20" s="103">
        <f>E20-'[1]EU variety'!C20</f>
        <v>0</v>
      </c>
      <c r="D20" s="31">
        <f>F20-'[1]EU variety'!D20</f>
        <v>0</v>
      </c>
      <c r="E20" s="164">
        <f>Italy!E$13</f>
        <v>0</v>
      </c>
      <c r="F20" s="31">
        <f>Italy!F$13</f>
        <v>0</v>
      </c>
      <c r="G20" s="31">
        <f>Italy!G$13</f>
        <v>0</v>
      </c>
      <c r="H20" s="31">
        <f>Italy!H$13</f>
        <v>0</v>
      </c>
      <c r="I20" s="31">
        <f>Italy!I$13</f>
        <v>0</v>
      </c>
      <c r="J20" s="31">
        <v>0</v>
      </c>
      <c r="K20" s="31">
        <v>0</v>
      </c>
      <c r="L20" s="31">
        <f>Italy!L$13</f>
        <v>0</v>
      </c>
      <c r="M20" s="31">
        <f>Italy!M$13</f>
        <v>7</v>
      </c>
      <c r="N20" s="31">
        <f>Italy!N$13</f>
        <v>8</v>
      </c>
      <c r="O20" s="31">
        <f>Italy!O$13</f>
        <v>0</v>
      </c>
      <c r="P20" s="31">
        <f>Italy!P$13</f>
        <v>1.0030709276165608</v>
      </c>
      <c r="Q20" s="31">
        <f>Italy!Q$13+Poland!Q$10</f>
        <v>115007.01704253344</v>
      </c>
      <c r="R20" s="31">
        <f>Italy!R$13+Poland!R$10</f>
        <v>1</v>
      </c>
      <c r="S20" s="32">
        <f>Italy!S$13+Poland!S$10</f>
        <v>10004.620000000001</v>
      </c>
    </row>
    <row r="21" spans="1:105">
      <c r="A21" s="29" t="s">
        <v>33</v>
      </c>
      <c r="B21" s="30" t="str">
        <f t="shared" si="0"/>
        <v/>
      </c>
      <c r="C21" s="103">
        <f>E21-'[1]EU variety'!C21</f>
        <v>0</v>
      </c>
      <c r="D21" s="31">
        <f>F21-'[1]EU variety'!D21</f>
        <v>0</v>
      </c>
      <c r="E21" s="164">
        <f>Poland!E$11</f>
        <v>0</v>
      </c>
      <c r="F21" s="31">
        <f>Poland!F$11</f>
        <v>0</v>
      </c>
      <c r="G21" s="31">
        <f>Poland!G$11</f>
        <v>0</v>
      </c>
      <c r="H21" s="31">
        <f>Poland!H$11</f>
        <v>0</v>
      </c>
      <c r="I21" s="31">
        <f>Poland!I$11</f>
        <v>0</v>
      </c>
      <c r="J21" s="31">
        <v>0</v>
      </c>
      <c r="K21" s="31">
        <v>0</v>
      </c>
      <c r="L21" s="31">
        <f>Poland!L$11</f>
        <v>0</v>
      </c>
      <c r="M21" s="31">
        <f>Poland!M$11</f>
        <v>0</v>
      </c>
      <c r="N21" s="31">
        <f>Poland!N$11</f>
        <v>2000</v>
      </c>
      <c r="O21" s="31">
        <f>Poland!O$11</f>
        <v>2000</v>
      </c>
      <c r="P21" s="31">
        <f>Poland!P$11</f>
        <v>5000</v>
      </c>
      <c r="Q21" s="31">
        <f>Poland!Q$11</f>
        <v>5000</v>
      </c>
      <c r="R21" s="31">
        <f>Poland!R$11</f>
        <v>30000</v>
      </c>
      <c r="S21" s="32">
        <f>Poland!S$11</f>
        <v>65000</v>
      </c>
    </row>
    <row r="22" spans="1:105">
      <c r="A22" s="29" t="s">
        <v>17</v>
      </c>
      <c r="B22" s="30">
        <f t="shared" si="0"/>
        <v>-7.2436163928525477E-2</v>
      </c>
      <c r="C22" s="103">
        <f>E22-'[1]EU variety'!C22</f>
        <v>-2288.8027979741528</v>
      </c>
      <c r="D22" s="31">
        <f>F22-'[1]EU variety'!D22</f>
        <v>-2748.5381151226775</v>
      </c>
      <c r="E22" s="164">
        <f>Italy!E$14</f>
        <v>14506.852021060015</v>
      </c>
      <c r="F22" s="31">
        <f>Italy!F$14</f>
        <v>15639.734384752546</v>
      </c>
      <c r="G22" s="31">
        <f>Italy!G$14</f>
        <v>16497.456237868468</v>
      </c>
      <c r="H22" s="31">
        <f>Italy!H$14</f>
        <v>20586.154000000002</v>
      </c>
      <c r="I22" s="31">
        <f>Italy!I$14</f>
        <v>22074</v>
      </c>
      <c r="J22" s="31">
        <v>23355</v>
      </c>
      <c r="K22" s="31">
        <v>18463</v>
      </c>
      <c r="L22" s="31">
        <f>Italy!L$14</f>
        <v>23139.200000000001</v>
      </c>
      <c r="M22" s="31">
        <f>Italy!M$14</f>
        <v>25805.7</v>
      </c>
      <c r="N22" s="31">
        <f>Italy!N$14</f>
        <v>31824</v>
      </c>
      <c r="O22" s="31">
        <f>Italy!O$14</f>
        <v>25616</v>
      </c>
      <c r="P22" s="31">
        <f>Italy!P$14</f>
        <v>26016.650649590734</v>
      </c>
      <c r="Q22" s="31">
        <f>Italy!Q$14</f>
        <v>17180.727425809095</v>
      </c>
      <c r="R22" s="31">
        <f>Italy!R$14</f>
        <v>46392</v>
      </c>
      <c r="S22" s="32">
        <f>Italy!S$14</f>
        <v>35343.760000000002</v>
      </c>
    </row>
    <row r="23" spans="1:105">
      <c r="A23" s="29" t="s">
        <v>12</v>
      </c>
      <c r="B23" s="30">
        <f t="shared" si="0"/>
        <v>4.348919143736274E-2</v>
      </c>
      <c r="C23" s="103">
        <f>E23-'[1]EU variety'!C23</f>
        <v>52689.775567598321</v>
      </c>
      <c r="D23" s="31">
        <f>F23-'[1]EU variety'!D23</f>
        <v>51451.582838587085</v>
      </c>
      <c r="E23" s="164">
        <f>Austria!E$16+Denmark!E$16+Germany!E$15+Switzerland!E$14+Poland!E$12+Italy!E$15</f>
        <v>106187.74001204276</v>
      </c>
      <c r="F23" s="31">
        <f>Austria!F$16+Denmark!F$16+Germany!F$15+Switzerland!F$14+Poland!F$12+Italy!F$15</f>
        <v>101762.18487301588</v>
      </c>
      <c r="G23" s="31">
        <f>Austria!G$16+Denmark!G$16+Germany!G$15+Switzerland!G$14+Poland!G$12+Italy!G$15</f>
        <v>100294.86324786325</v>
      </c>
      <c r="H23" s="31">
        <f>Austria!H$16+Denmark!H$16+Germany!H$15+Switzerland!H$14+Poland!H$12+Italy!H$15</f>
        <v>88794.65</v>
      </c>
      <c r="I23" s="31">
        <f>Austria!I$16+Denmark!I$16+Germany!I$15+Switzerland!I$14+Poland!I$12+Italy!I$15</f>
        <v>57628</v>
      </c>
      <c r="J23" s="31">
        <v>86440</v>
      </c>
      <c r="K23" s="31">
        <v>29004</v>
      </c>
      <c r="L23" s="31">
        <f>Austria!L$16+Denmark!L$16+Germany!L$15+Switzerland!L$14+Poland!L$12</f>
        <v>34079.760000000002</v>
      </c>
      <c r="M23" s="31">
        <f>Austria!M$16+Denmark!M$16+Germany!M$15+Switzerland!M$14+Poland!M$12</f>
        <v>35784.68</v>
      </c>
      <c r="N23" s="31">
        <f>Austria!N$16+Denmark!N$16+Germany!N$15+Switzerland!N$14+Poland!N$12</f>
        <v>37831.72</v>
      </c>
      <c r="O23" s="31">
        <f>Austria!O$16+Denmark!O$16+Germany!O$15+Switzerland!O$14+Poland!O$12</f>
        <v>33170</v>
      </c>
      <c r="P23" s="31">
        <f>Austria!P$16+Denmark!P$16+Germany!P$15+Switzerland!P$14+Poland!P$12</f>
        <v>47208</v>
      </c>
      <c r="Q23" s="31">
        <f>Austria!Q$16+Denmark!Q$16+Germany!Q$15+Switzerland!Q$14</f>
        <v>13370</v>
      </c>
      <c r="R23" s="31">
        <f>Austria!R$16+Denmark!R$16+Germany!R$15+Switzerland!R$14</f>
        <v>14138</v>
      </c>
      <c r="S23" s="32">
        <f>Austria!S$16+Denmark!S$16+Germany!S$15+Switzerland!S$14</f>
        <v>17608</v>
      </c>
      <c r="V23" s="31"/>
    </row>
    <row r="24" spans="1:105">
      <c r="A24" s="29" t="s">
        <v>18</v>
      </c>
      <c r="B24" s="30">
        <f t="shared" si="0"/>
        <v>-0.26387130638778256</v>
      </c>
      <c r="C24" s="103">
        <f>E24-'[1]EU variety'!C24</f>
        <v>33544.831398577837</v>
      </c>
      <c r="D24" s="31">
        <f>F24-'[1]EU variety'!D24</f>
        <v>38233.931293244299</v>
      </c>
      <c r="E24" s="164">
        <f>'Czech Republic'!E$8+France!E$21+Italy!E$16+Spain!E$6+Poland!E$13</f>
        <v>177542.12934484467</v>
      </c>
      <c r="F24" s="31">
        <f>'Czech Republic'!F$8+France!F$21+Italy!F$16+Spain!F$6+Poland!F$13</f>
        <v>241183.54696056916</v>
      </c>
      <c r="G24" s="31">
        <f>'Czech Republic'!G$8+France!G$21+Italy!G$16+Spain!G$6+Poland!G$13</f>
        <v>217246.55723303457</v>
      </c>
      <c r="H24" s="31">
        <f>'Czech Republic'!H$8+France!H$21+Italy!H$16+Spain!H$6+Poland!H$13</f>
        <v>227843.4985502504</v>
      </c>
      <c r="I24" s="31">
        <f>'Czech Republic'!I$8+France!I$21+Italy!I$16+Spain!I$6+Poland!I$13</f>
        <v>221822.01151159412</v>
      </c>
      <c r="J24" s="31">
        <v>241874</v>
      </c>
      <c r="K24" s="31">
        <v>159204</v>
      </c>
      <c r="L24" s="31">
        <f>'Czech Republic'!L$8+France!L$21+Italy!L$16+Spain!L$6+Poland!L$13</f>
        <v>217181.3039240925</v>
      </c>
      <c r="M24" s="31">
        <f>'Czech Republic'!M$8+France!M$21+Italy!M$16+Spain!M$6+Poland!M$13</f>
        <v>220997.51485985468</v>
      </c>
      <c r="N24" s="31">
        <f>'Czech Republic'!N$8+France!N$21+Italy!N$16+Spain!N$6+Poland!N$13</f>
        <v>211956.25122225194</v>
      </c>
      <c r="O24" s="31">
        <f>'Czech Republic'!O$8+France!O$21+Italy!O$16+Spain!O$6+Poland!O$13</f>
        <v>195689.71700772963</v>
      </c>
      <c r="P24" s="31">
        <f>'Czech Republic'!P$8+France!P$21+Italy!P$16+Spain!P$6+Poland!P$13</f>
        <v>144847.80612303846</v>
      </c>
      <c r="Q24" s="31">
        <f>'Czech Republic'!Q$8+France!Q$21+Italy!Q$16+Spain!Q$6+Poland!Q$13</f>
        <v>194156.02082232918</v>
      </c>
      <c r="R24" s="31">
        <f>'Czech Republic'!R$8+France!R$21+Italy!R$16+Spain!R$6+Poland!R$13</f>
        <v>202759</v>
      </c>
      <c r="S24" s="32">
        <f>'Czech Republic'!S$8+France!S$21+Italy!S$16+Spain!S$6+Poland!S$13</f>
        <v>230326.8</v>
      </c>
    </row>
    <row r="25" spans="1:105">
      <c r="A25" s="29" t="s">
        <v>97</v>
      </c>
      <c r="B25" s="30">
        <f t="shared" si="0"/>
        <v>-0.27674423097584533</v>
      </c>
      <c r="C25" s="103">
        <f>E25-'[1]EU variety'!C25</f>
        <v>182732.73035944268</v>
      </c>
      <c r="D25" s="31">
        <f>F25-'[1]EU variety'!D25</f>
        <v>266632.45298285439</v>
      </c>
      <c r="E25" s="164">
        <f>Germany!E$16+Austria!E$17+Poland!E$14</f>
        <v>243304.9525816649</v>
      </c>
      <c r="F25" s="31">
        <f>Germany!F$16+Austria!F$17+Poland!F$14</f>
        <v>336402.36691086693</v>
      </c>
      <c r="G25" s="31">
        <f>Germany!G$16+Austria!G$17+Poland!G$14</f>
        <v>282117.42796092795</v>
      </c>
      <c r="H25" s="31">
        <f>Germany!H$16+Austria!H$17+Poland!H$14</f>
        <v>238780.1</v>
      </c>
      <c r="I25" s="31">
        <f>Germany!I$16+Austria!I$17+Poland!I$14</f>
        <v>211891</v>
      </c>
      <c r="J25" s="31">
        <v>163214</v>
      </c>
      <c r="K25" s="31">
        <v>42137</v>
      </c>
      <c r="L25" s="31">
        <f>Germany!L$16</f>
        <v>60149</v>
      </c>
      <c r="M25" s="31">
        <f>Germany!M$16</f>
        <v>37163</v>
      </c>
      <c r="N25" s="31">
        <f>Germany!N$16</f>
        <v>45161</v>
      </c>
      <c r="O25" s="31">
        <f>Germany!O$16</f>
        <v>19737</v>
      </c>
      <c r="P25" s="31">
        <f>Germany!P$16</f>
        <v>30514</v>
      </c>
      <c r="Q25" s="31">
        <f>Germany!Q$16</f>
        <v>23972</v>
      </c>
      <c r="R25" s="31">
        <f>Germany!R$16</f>
        <v>18137</v>
      </c>
      <c r="S25" s="32">
        <f>Germany!S$16</f>
        <v>21424</v>
      </c>
    </row>
    <row r="26" spans="1:105" s="69" customFormat="1" ht="13.8" thickBot="1">
      <c r="A26" s="29" t="s">
        <v>95</v>
      </c>
      <c r="B26" s="30">
        <f t="shared" si="0"/>
        <v>-0.10988263266626386</v>
      </c>
      <c r="C26" s="103">
        <f>E26-'[1]EU variety'!C26</f>
        <v>22001.866999999998</v>
      </c>
      <c r="D26" s="31">
        <f>F26-'[1]EU variety'!D26</f>
        <v>-6337.2329999999929</v>
      </c>
      <c r="E26" s="164">
        <f>France!E$19+France!E$20+Italy!E$17+Switzerland!E$12</f>
        <v>37276.417000000001</v>
      </c>
      <c r="F26" s="31">
        <f>France!F$19+France!F$20+Italy!F$17+Switzerland!F$12</f>
        <v>41878.092000000004</v>
      </c>
      <c r="G26" s="31">
        <f>France!G$19+France!G$20+Italy!G$17+Switzerland!G$12</f>
        <v>35641.144</v>
      </c>
      <c r="H26" s="31">
        <f>France!H$19+France!H$20+Italy!H$17+Switzerland!H$12</f>
        <v>42748.748999999996</v>
      </c>
      <c r="I26" s="31">
        <f>France!I$19+France!I$20+Italy!I$17+Switzerland!I$12</f>
        <v>33836</v>
      </c>
      <c r="J26" s="31"/>
      <c r="K26" s="31">
        <v>20152</v>
      </c>
      <c r="L26" s="31">
        <f>France!L$19+France!L$20+Italy!L$17+Switzerland!L$12</f>
        <v>36710.199999999997</v>
      </c>
      <c r="M26" s="31">
        <f>France!M$19+France!M$20+Italy!M$17+Switzerland!M$12</f>
        <v>35564.199999999997</v>
      </c>
      <c r="N26" s="31">
        <f>France!N$19+France!N$20+Italy!N$17+Switzerland!N$12</f>
        <v>36167</v>
      </c>
      <c r="O26" s="31">
        <f>France!O$19+France!O$20+Italy!O$17+Switzerland!O$12</f>
        <v>57744</v>
      </c>
      <c r="P26" s="31">
        <f>France!P$19+France!P$20+Italy!P$17+Switzerland!P$12</f>
        <v>5552</v>
      </c>
      <c r="Q26" s="31">
        <f>France!Q$19+France!Q$20+Italy!Q$17+Switzerland!Q$12</f>
        <v>35154.807769181032</v>
      </c>
      <c r="R26" s="31">
        <f>France!R$19+France!R$20+Italy!R$17+Switzerland!R$12</f>
        <v>33059</v>
      </c>
      <c r="S26" s="32">
        <f>France!S$19+France!S$20+Italy!S$17+Switzerland!S$12</f>
        <v>31754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</row>
    <row r="27" spans="1:105">
      <c r="A27" s="29" t="s">
        <v>88</v>
      </c>
      <c r="B27" s="30">
        <f t="shared" si="0"/>
        <v>-0.1750818710591916</v>
      </c>
      <c r="C27" s="103">
        <f>E27-'[1]EU variety'!C27</f>
        <v>98050</v>
      </c>
      <c r="D27" s="31">
        <f>F27-'[1]EU variety'!D27</f>
        <v>119183</v>
      </c>
      <c r="E27" s="164">
        <f>'Czech Republic'!E$9+Germany!E$17+Poland!E$15</f>
        <v>101262</v>
      </c>
      <c r="F27" s="31">
        <f>'Czech Republic'!F$9+Germany!F$17+Poland!F$15</f>
        <v>122754</v>
      </c>
      <c r="G27" s="31">
        <f>'Czech Republic'!G$9+Germany!G$17+Poland!G$15</f>
        <v>144096</v>
      </c>
      <c r="H27" s="31">
        <f>'Czech Republic'!H$9+Germany!H$17+Poland!H$15</f>
        <v>172645</v>
      </c>
      <c r="I27" s="31">
        <f>'Czech Republic'!I$9+Germany!I$17+Poland!I$15</f>
        <v>152074</v>
      </c>
      <c r="J27" s="31">
        <v>234358</v>
      </c>
      <c r="K27" s="31">
        <v>174018</v>
      </c>
      <c r="L27" s="31">
        <f>'Czech Republic'!L$9+Germany!L$17+Poland!L$15</f>
        <v>216695</v>
      </c>
      <c r="M27" s="31">
        <f>'Czech Republic'!M$9+Germany!M$17+Poland!M$15</f>
        <v>215402</v>
      </c>
      <c r="N27" s="31">
        <f>'Czech Republic'!N$9+Germany!N$17+Poland!N$15</f>
        <v>215557</v>
      </c>
      <c r="O27" s="31">
        <f>'Czech Republic'!O$9+Germany!O$17+Poland!O$15</f>
        <v>202948</v>
      </c>
      <c r="P27" s="31">
        <f>'Czech Republic'!P$9+Germany!P$17+Poland!P$15</f>
        <v>175866</v>
      </c>
      <c r="Q27" s="31">
        <f>'Czech Republic'!Q$9+Germany!Q$17+Poland!Q$15</f>
        <v>150259</v>
      </c>
      <c r="R27" s="31">
        <f>'Czech Republic'!R$9+Germany!R$17+Poland!R$15</f>
        <v>73707</v>
      </c>
      <c r="S27" s="32">
        <f>'Czech Republic'!S$9+Germany!S$17+Poland!S$15</f>
        <v>106428</v>
      </c>
    </row>
    <row r="28" spans="1:105">
      <c r="A28" s="29" t="s">
        <v>19</v>
      </c>
      <c r="B28" s="30" t="str">
        <f t="shared" si="0"/>
        <v/>
      </c>
      <c r="C28" s="103">
        <f>E28-'[1]EU variety'!C28</f>
        <v>0</v>
      </c>
      <c r="D28" s="31">
        <f>F28-'[1]EU variety'!D28</f>
        <v>0</v>
      </c>
      <c r="E28" s="164">
        <f>Italy!E$18</f>
        <v>0</v>
      </c>
      <c r="F28" s="31">
        <f>Italy!F$18</f>
        <v>0</v>
      </c>
      <c r="G28" s="31">
        <f>Italy!G$18</f>
        <v>0</v>
      </c>
      <c r="H28" s="31">
        <f>Italy!H$18</f>
        <v>0</v>
      </c>
      <c r="I28" s="31">
        <f>Italy!I$18</f>
        <v>0</v>
      </c>
      <c r="J28" s="31">
        <v>4177</v>
      </c>
      <c r="K28" s="31">
        <v>4407</v>
      </c>
      <c r="L28" s="31">
        <f>Italy!L$18</f>
        <v>8865.6</v>
      </c>
      <c r="M28" s="31">
        <f>Italy!M$18</f>
        <v>8597.4</v>
      </c>
      <c r="N28" s="31">
        <f>Italy!N$18</f>
        <v>10762</v>
      </c>
      <c r="O28" s="31">
        <f>Italy!O$18</f>
        <v>7130</v>
      </c>
      <c r="P28" s="31">
        <f>Italy!P$18</f>
        <v>3342.2323308183804</v>
      </c>
      <c r="Q28" s="31">
        <f>Italy!Q$18</f>
        <v>8859.517415794433</v>
      </c>
      <c r="R28" s="31">
        <f>Italy!R$18</f>
        <v>8884</v>
      </c>
      <c r="S28" s="32">
        <f>Italy!S$18</f>
        <v>5689.08</v>
      </c>
    </row>
    <row r="29" spans="1:105">
      <c r="A29" s="29" t="s">
        <v>34</v>
      </c>
      <c r="B29" s="30">
        <f t="shared" si="0"/>
        <v>-1</v>
      </c>
      <c r="C29" s="103">
        <f>E29-'[1]EU variety'!C29</f>
        <v>0</v>
      </c>
      <c r="D29" s="31">
        <f>F29-'[1]EU variety'!D29</f>
        <v>9</v>
      </c>
      <c r="E29" s="164">
        <f>'Czech Republic'!E$10+UK!E$9+Poland!E$16+Denmark!E$17</f>
        <v>0</v>
      </c>
      <c r="F29" s="31">
        <f>'Czech Republic'!F$10+UK!F$9+Poland!F$16+Denmark!F$17</f>
        <v>34</v>
      </c>
      <c r="G29" s="31">
        <f>'Czech Republic'!G$10+UK!G$9+Poland!G$16+Denmark!G$17</f>
        <v>32</v>
      </c>
      <c r="H29" s="31">
        <f>'Czech Republic'!H$10+UK!H$9+Poland!H$16+Denmark!H$17</f>
        <v>319</v>
      </c>
      <c r="I29" s="31">
        <f>'Czech Republic'!I$10+UK!I$9+Poland!I$16+Denmark!I$17</f>
        <v>102</v>
      </c>
      <c r="J29" s="31">
        <v>44</v>
      </c>
      <c r="K29" s="31">
        <v>35</v>
      </c>
      <c r="L29" s="31">
        <f>'Czech Republic'!L$10+UK!L$9+Poland!L$16+Denmark!L$17</f>
        <v>76</v>
      </c>
      <c r="M29" s="31">
        <f>'Czech Republic'!M$10+UK!M$9+Poland!M$16+Denmark!M$17</f>
        <v>109</v>
      </c>
      <c r="N29" s="31">
        <f>'Czech Republic'!N$10+UK!N$9+Poland!N$16+Denmark!N$17</f>
        <v>202</v>
      </c>
      <c r="O29" s="31">
        <f>'Czech Republic'!O$10+UK!O$9+Poland!O$16+Denmark!O$17</f>
        <v>131</v>
      </c>
      <c r="P29" s="31">
        <f>'Czech Republic'!P$10+UK!P$9+Poland!P$16+Denmark!P$17</f>
        <v>585</v>
      </c>
      <c r="Q29" s="31">
        <f>'Czech Republic'!Q$10+UK!Q$9+Poland!Q$16+Denmark!Q$17</f>
        <v>168</v>
      </c>
      <c r="R29" s="31">
        <f>'Czech Republic'!R$10+UK!R$9+Poland!R$16+Denmark!R$17</f>
        <v>124</v>
      </c>
      <c r="S29" s="32">
        <f>'Czech Republic'!S$10+UK!S$9+Poland!S$16+Denmark!S$17</f>
        <v>5241</v>
      </c>
    </row>
    <row r="30" spans="1:105">
      <c r="A30" s="29" t="s">
        <v>98</v>
      </c>
      <c r="B30" s="30">
        <f t="shared" si="0"/>
        <v>-0.18138717359946377</v>
      </c>
      <c r="C30" s="103">
        <f>E30-'[1]EU variety'!C30</f>
        <v>32427.835616438359</v>
      </c>
      <c r="D30" s="31">
        <f>F30-'[1]EU variety'!D30</f>
        <v>-4002.111111111124</v>
      </c>
      <c r="E30" s="164">
        <f>Austria!E$6+Denmark!E$18+France!E$2+France!E$24+France!E$17+France!E$15+France!E$13+Switzerland!E$17+UK!E$10+Germany!E$19+Netherlands!E$6</f>
        <v>120724.83561643836</v>
      </c>
      <c r="F30" s="31">
        <f>Austria!F$6+Denmark!F$18+France!F$2+France!F$24+France!F$17+France!F$15+France!F$13+Switzerland!F$17+UK!F$10+Germany!F$19+Netherlands!F$6</f>
        <v>147474.88888888888</v>
      </c>
      <c r="G30" s="31">
        <f>Austria!G$6+Denmark!G$18+France!G$2+France!G$24+France!G$17+France!G$15+France!G$13+Switzerland!G$17+UK!G$10+Germany!G$19+Netherlands!G$6</f>
        <v>146647.05555555556</v>
      </c>
      <c r="H30" s="31">
        <f>Austria!H$6+Denmark!H$18+France!H$2+France!H$24+France!H$17+France!H$15+France!H$13+Switzerland!H$17+UK!H$10+Germany!H$19+Netherlands!H$6</f>
        <v>141119.75</v>
      </c>
      <c r="I30" s="31">
        <f>Austria!I$6+Denmark!I$18+France!I$2+France!I$24+France!I$17+France!I$15+France!I$13+Switzerland!I$17+UK!I$10+Germany!I$19+Netherlands!I$6</f>
        <v>139700</v>
      </c>
      <c r="J30" s="31">
        <v>141569.75899999999</v>
      </c>
      <c r="K30" s="31">
        <v>94415</v>
      </c>
      <c r="L30" s="31">
        <f>Austria!L$6+Denmark!L$18+France!L$2+France!L$24+France!L$17+France!L$15+France!L$13+Switzerland!L$17+UK!L$10+Germany!L$19+Netherlands!L$6</f>
        <v>113524.52</v>
      </c>
      <c r="M30" s="31">
        <f>Austria!M$6+Denmark!M$18+France!M$2+France!M$24+France!M$17+France!M$15+France!M$13+Switzerland!M$17+UK!M$10+Germany!M$19+Netherlands!M$6</f>
        <v>120850.72</v>
      </c>
      <c r="N30" s="31">
        <f>Austria!N$6+Denmark!N$18+France!N$2+France!N$24+France!N$17+France!N$15+France!N$13+Switzerland!N$17+UK!N$10+Germany!N$19+Netherlands!N$6</f>
        <v>126384.95999999999</v>
      </c>
      <c r="O30" s="31">
        <f>Austria!O$6+Denmark!O$18+France!O$2+France!O$24+France!O$17+France!O$15+France!O$13+Switzerland!O$17+UK!O$10+Germany!O$19+Netherlands!O$6</f>
        <v>117736</v>
      </c>
      <c r="P30" s="31">
        <f>Austria!P$6+Denmark!P$18+France!P$2+France!P$24+France!P$17+France!P$15+France!P$13+Switzerland!P$17+UK!P$10+Germany!P$19+Netherlands!P$6</f>
        <v>65561</v>
      </c>
      <c r="Q30" s="31">
        <f>Austria!Q$6+Denmark!Q$18+France!Q$2+France!Q$24+France!Q$17+France!Q$15+France!Q$13+Switzerland!Q$17+UK!Q$10+Germany!Q$19</f>
        <v>70342</v>
      </c>
      <c r="R30" s="31">
        <f>Austria!R$6+Denmark!R$18+France!R$2+France!R$24+France!R$17+France!R$15+France!R$13+Switzerland!R$17+UK!R$10+Germany!R$19</f>
        <v>65178</v>
      </c>
      <c r="S30" s="32">
        <f>Austria!S$6+Denmark!S$18+France!S$2+France!S$24+France!S$17+France!S$15+France!S$13+Switzerland!S$17+UK!S$10+Germany!S$19</f>
        <v>50140</v>
      </c>
    </row>
    <row r="31" spans="1:105" ht="13.8" thickBot="1">
      <c r="A31" s="33" t="s">
        <v>5</v>
      </c>
      <c r="B31" s="34">
        <f t="shared" si="0"/>
        <v>0.1931325066488494</v>
      </c>
      <c r="C31" s="104">
        <f>E31-'[1]EU variety'!C31</f>
        <v>320578.75600039517</v>
      </c>
      <c r="D31" s="35">
        <f>F31-'[1]EU variety'!D31</f>
        <v>186314.79518213758</v>
      </c>
      <c r="E31" s="166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647983.96806262317</v>
      </c>
      <c r="F31" s="35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543094.72288422962</v>
      </c>
      <c r="G31" s="35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580385.29243356304</v>
      </c>
      <c r="H31" s="35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678759.82</v>
      </c>
      <c r="I31" s="35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390290.52</v>
      </c>
      <c r="J31" s="35">
        <v>686243.75800000003</v>
      </c>
      <c r="K31" s="35">
        <v>381101</v>
      </c>
      <c r="L31" s="35">
        <f>Austria!L$2++Austria!L$15+Austria!L$18+Austria!L$19+Austria!L$20+Belgium!L$9+'Czech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536201.66</v>
      </c>
      <c r="M31" s="31">
        <f>Austria!M$2++Austria!M$15+Austria!M$18+Austria!M$19+Austria!M$20+Belgium!M$9+'Czech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565321.93999999994</v>
      </c>
      <c r="N31" s="31">
        <f>Austria!N$2++Austria!N$15+Austria!N$18+Austria!N$19+Austria!N$20+Belgium!N$9+'Czech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559269.06000000006</v>
      </c>
      <c r="O31" s="31">
        <f>Austria!O$2++Austria!O$15+Austria!O$18+Austria!O$19+Austria!O$20+Belgium!O$9+'Czech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423989.527</v>
      </c>
      <c r="P31" s="31">
        <f>Austria!P$2++Austria!P$15+Austria!P$18+Austria!P$19+Austria!P$20+Belgium!P$9+'Czech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443930.52622296533</v>
      </c>
      <c r="Q31" s="31">
        <f>Austria!Q$2++Austria!Q$15+Austria!Q$18+Austria!Q$19+Austria!Q$20+Belgium!Q$9+'Czech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388707.42268708476</v>
      </c>
      <c r="R31" s="31">
        <f>Austria!R$2++Austria!R$15+Austria!R$18+Austria!R$19+Austria!R$20+Belgium!R$9+'Czech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183360</v>
      </c>
      <c r="S31" s="36">
        <f>Austria!S$2++Austria!S$15+Austria!S$18+Austria!S$19+Austria!S$20+Belgium!S$9+'Czech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275065.56</v>
      </c>
    </row>
    <row r="32" spans="1:105" ht="13.8" thickBot="1">
      <c r="A32" s="37" t="s">
        <v>93</v>
      </c>
      <c r="B32" s="82">
        <f t="shared" si="0"/>
        <v>-4.2207597044780831E-2</v>
      </c>
      <c r="C32" s="112"/>
      <c r="D32" s="55"/>
      <c r="E32" s="167">
        <f>SUM(E2:E31)</f>
        <v>4291700.2432244802</v>
      </c>
      <c r="F32" s="55">
        <f>SUM(F2:F31)</f>
        <v>4480825.103626485</v>
      </c>
      <c r="G32" s="55">
        <f>SUM(G2:G31)</f>
        <v>4902786.2553918976</v>
      </c>
      <c r="H32" s="55">
        <f>SUM(H2:H31)</f>
        <v>4592937.2641482325</v>
      </c>
      <c r="I32" s="55">
        <f>SUM(I2:I31)</f>
        <v>4457971.3808436422</v>
      </c>
      <c r="J32" s="55">
        <v>5139720.216</v>
      </c>
      <c r="K32" s="55">
        <v>3548332</v>
      </c>
      <c r="L32" s="55">
        <f>SUM(L2:L31)</f>
        <v>4713530.3434793204</v>
      </c>
      <c r="M32" s="39">
        <f>SUM(M2:M31)</f>
        <v>5074215.5036742818</v>
      </c>
      <c r="N32" s="39">
        <f t="shared" ref="N32:S32" si="1">SUM(N2:N31)</f>
        <v>5150749.5776487812</v>
      </c>
      <c r="O32" s="39">
        <f t="shared" si="1"/>
        <v>4606679.4703704314</v>
      </c>
      <c r="P32" s="39">
        <f t="shared" si="1"/>
        <v>4016560.0000000005</v>
      </c>
      <c r="Q32" s="39">
        <f t="shared" si="1"/>
        <v>4477971</v>
      </c>
      <c r="R32" s="39">
        <f t="shared" si="1"/>
        <v>3774277</v>
      </c>
      <c r="S32" s="40">
        <f t="shared" si="1"/>
        <v>4235523.78</v>
      </c>
    </row>
    <row r="33" spans="1:19">
      <c r="A33" s="26" t="s">
        <v>153</v>
      </c>
    </row>
    <row r="34" spans="1:19" ht="13.8" thickBot="1"/>
    <row r="35" spans="1:19" ht="13.8" thickBot="1">
      <c r="A35" s="27" t="s">
        <v>92</v>
      </c>
      <c r="B35" s="12" t="s">
        <v>184</v>
      </c>
      <c r="C35" s="117" t="s">
        <v>185</v>
      </c>
      <c r="D35" s="42" t="s">
        <v>179</v>
      </c>
      <c r="E35" s="156">
        <v>45261</v>
      </c>
      <c r="F35" s="13">
        <v>44896</v>
      </c>
      <c r="G35" s="13">
        <v>44531</v>
      </c>
      <c r="H35" s="13">
        <v>44166</v>
      </c>
      <c r="I35" s="13">
        <v>43800</v>
      </c>
      <c r="J35" s="13">
        <v>43435</v>
      </c>
      <c r="K35" s="13">
        <v>43070</v>
      </c>
      <c r="L35" s="13">
        <v>42705</v>
      </c>
      <c r="M35" s="28">
        <f>M1</f>
        <v>42339</v>
      </c>
      <c r="N35" s="28">
        <f>N1</f>
        <v>41974</v>
      </c>
      <c r="O35" s="28">
        <v>41609</v>
      </c>
      <c r="P35" s="28">
        <v>41244</v>
      </c>
      <c r="Q35" s="28">
        <v>40878</v>
      </c>
      <c r="R35" s="28">
        <v>40513</v>
      </c>
      <c r="S35" s="44">
        <v>40148</v>
      </c>
    </row>
    <row r="36" spans="1:19">
      <c r="A36" s="47" t="s">
        <v>99</v>
      </c>
      <c r="B36" s="30">
        <f t="shared" ref="B36:B44" si="2">IFERROR((E36/F36-1), "")</f>
        <v>-0.74778576356158144</v>
      </c>
      <c r="C36" s="105">
        <f>E36-'[1]EU variety'!C36</f>
        <v>-8323.7698416244675</v>
      </c>
      <c r="D36" s="31">
        <f>F36-'[1]EU variety'!D36</f>
        <v>-22720</v>
      </c>
      <c r="E36" s="164">
        <f>Italy!E$24</f>
        <v>13541.382354378689</v>
      </c>
      <c r="F36" s="31">
        <f>Italy!F$24</f>
        <v>53690</v>
      </c>
      <c r="G36" s="31">
        <f>Italy!G$24</f>
        <v>18506.814974007775</v>
      </c>
      <c r="H36" s="31">
        <f>Italy!H$24</f>
        <v>123603.95069820629</v>
      </c>
      <c r="I36" s="31">
        <f>Italy!I$24</f>
        <v>57060.605919378584</v>
      </c>
      <c r="J36" s="31">
        <v>156648.07633423616</v>
      </c>
      <c r="K36" s="31">
        <v>188252</v>
      </c>
      <c r="L36" s="48">
        <f>Italy!L$24</f>
        <v>160810.63274927204</v>
      </c>
      <c r="M36" s="48">
        <f>Italy!M$24</f>
        <v>190239.85244829967</v>
      </c>
      <c r="N36" s="48">
        <f>Italy!N$24</f>
        <v>195211.58559709601</v>
      </c>
      <c r="O36" s="48">
        <f>Italy!O$24</f>
        <v>220635.27677052101</v>
      </c>
      <c r="P36" s="48">
        <f>Italy!P$24</f>
        <v>152771</v>
      </c>
      <c r="Q36" s="48">
        <f>Italy!Q$24</f>
        <v>263695</v>
      </c>
      <c r="R36" s="48">
        <f>Italy!R$24</f>
        <v>102895</v>
      </c>
      <c r="S36" s="49">
        <f>Italy!S$24</f>
        <v>137083</v>
      </c>
    </row>
    <row r="37" spans="1:19">
      <c r="A37" s="29" t="s">
        <v>37</v>
      </c>
      <c r="B37" s="30">
        <f t="shared" si="2"/>
        <v>-0.25850311802061221</v>
      </c>
      <c r="C37" s="105">
        <f>E37-'[1]EU variety'!C37</f>
        <v>-454.5532947950644</v>
      </c>
      <c r="D37" s="31">
        <f>F37-'[1]EU variety'!D37</f>
        <v>-990.56453812882773</v>
      </c>
      <c r="E37" s="164">
        <f>Spain!E$12</f>
        <v>1307.1817497566828</v>
      </c>
      <c r="F37" s="31">
        <f>Spain!F$12</f>
        <v>1762.8958145679971</v>
      </c>
      <c r="G37" s="31">
        <f>Spain!G$12</f>
        <v>1976.122992945227</v>
      </c>
      <c r="H37" s="31">
        <f>Spain!H$12</f>
        <v>4105.9411879520385</v>
      </c>
      <c r="I37" s="31">
        <f>Spain!I$12</f>
        <v>5554.0069952975846</v>
      </c>
      <c r="J37" s="31">
        <v>3760</v>
      </c>
      <c r="K37" s="31">
        <v>5055</v>
      </c>
      <c r="L37" s="31">
        <f>Spain!L$12</f>
        <v>5129.3937147215702</v>
      </c>
      <c r="M37" s="31">
        <f>Spain!M$12</f>
        <v>3983.7321032926498</v>
      </c>
      <c r="N37" s="31">
        <f>Spain!N$12</f>
        <v>4652</v>
      </c>
      <c r="O37" s="31">
        <f>Spain!O$12</f>
        <v>8768.2067935227915</v>
      </c>
      <c r="P37" s="31">
        <f>Spain!P$12</f>
        <v>4190</v>
      </c>
      <c r="Q37" s="31">
        <f>Spain!Q$12</f>
        <v>9131</v>
      </c>
      <c r="R37" s="31">
        <f>Spain!R$12</f>
        <v>7869</v>
      </c>
      <c r="S37" s="32">
        <f>Spain!S$12</f>
        <v>7480</v>
      </c>
    </row>
    <row r="38" spans="1:19">
      <c r="A38" s="29" t="s">
        <v>38</v>
      </c>
      <c r="B38" s="30">
        <f t="shared" si="2"/>
        <v>-0.13136891156719255</v>
      </c>
      <c r="C38" s="105">
        <f>E38-'[1]EU variety'!C38</f>
        <v>-241.38293394003267</v>
      </c>
      <c r="D38" s="31">
        <f>F38-'[1]EU variety'!D38</f>
        <v>-966.47350784775335</v>
      </c>
      <c r="E38" s="164">
        <f>Spain!E$13</f>
        <v>2959.8792187082263</v>
      </c>
      <c r="F38" s="31">
        <f>Spain!F$13</f>
        <v>3407.5216258359678</v>
      </c>
      <c r="G38" s="31">
        <f>Spain!G$13</f>
        <v>2950.3223091349842</v>
      </c>
      <c r="H38" s="31">
        <f>Spain!H$13</f>
        <v>7727.3158637739771</v>
      </c>
      <c r="I38" s="31">
        <f>Spain!I$13</f>
        <v>6609.2170484000571</v>
      </c>
      <c r="J38" s="31">
        <v>8062</v>
      </c>
      <c r="K38" s="31">
        <v>12358</v>
      </c>
      <c r="L38" s="31">
        <f>Spain!L$13</f>
        <v>13998.002729425983</v>
      </c>
      <c r="M38" s="31">
        <f>Spain!M$13</f>
        <v>9967.9743692551929</v>
      </c>
      <c r="N38" s="31">
        <f>Spain!N$13</f>
        <v>14886</v>
      </c>
      <c r="O38" s="31">
        <f>Spain!O$13</f>
        <v>15053.32890977768</v>
      </c>
      <c r="P38" s="31">
        <f>Spain!P$13</f>
        <v>11631</v>
      </c>
      <c r="Q38" s="31">
        <f>Spain!Q$13</f>
        <v>19399</v>
      </c>
      <c r="R38" s="31">
        <f>Spain!R$13</f>
        <v>25304</v>
      </c>
      <c r="S38" s="32">
        <f>Spain!S$13</f>
        <v>23226</v>
      </c>
    </row>
    <row r="39" spans="1:19">
      <c r="A39" s="29" t="s">
        <v>6</v>
      </c>
      <c r="B39" s="30">
        <f t="shared" si="2"/>
        <v>0.10817845212864796</v>
      </c>
      <c r="C39" s="105">
        <f>E39-'[1]EU variety'!C39</f>
        <v>-28768.486406481708</v>
      </c>
      <c r="D39" s="31">
        <f>F39-'[1]EU variety'!D39</f>
        <v>-25289.594878959353</v>
      </c>
      <c r="E39" s="164">
        <f>Belgium!E$15+Denmark!E$24+Italy!E$25+Poland!E$22+Spain!E$14+Switzerland!E$24+Netherlands!E$12+UK!E$16+'Czech Republic'!E$16+France!E$32</f>
        <v>563848.66723735898</v>
      </c>
      <c r="F39" s="31">
        <f>Belgium!F$15+Denmark!F$24+Italy!F$25+Poland!F$22+Spain!F$14+Switzerland!F$24+Netherlands!F$12+UK!F$16+'Czech Republic'!F$16+France!F$32</f>
        <v>508806.74150836316</v>
      </c>
      <c r="G39" s="31">
        <f>Belgium!G$15+Denmark!G$24+Italy!G$25+Poland!G$22+Spain!G$14+Switzerland!G$24+Netherlands!G$12+UK!G$16+'Czech Republic'!G$16+France!G$32</f>
        <v>535861.46377510042</v>
      </c>
      <c r="H39" s="31">
        <f>Belgium!H$15+Denmark!H$24+Italy!H$25+Poland!H$22+Spain!H$14+Switzerland!H$24+Netherlands!H$12+UK!H$16+'Czech Republic'!H$16+France!H$32</f>
        <v>596767.71917381836</v>
      </c>
      <c r="I39" s="31">
        <f>Belgium!I$15+Denmark!I$24+Italy!I$25+Poland!I$22+Spain!I$14+Switzerland!I$24+Netherlands!I$12+UK!I$16+'Czech Republic'!I$16+France!I$32</f>
        <v>494065.3761377068</v>
      </c>
      <c r="J39" s="31">
        <v>587609.97244912328</v>
      </c>
      <c r="K39" s="31">
        <v>502694</v>
      </c>
      <c r="L39" s="31">
        <f>Belgium!L$15+Denmark!L$24+Italy!L$25+Poland!L$22+Spain!L$14+Switzerland!L$24+Netherlands!L$12+UK!L$16+'Czech Republic'!L$16+France!L$32</f>
        <v>527920.45931730082</v>
      </c>
      <c r="M39" s="31">
        <f>Belgium!M$15+Denmark!M$24+Italy!M$25+Poland!M$22+Spain!M$14+Switzerland!M$24+Netherlands!M$12+UK!M$16+'Czech Republic'!M$16+France!M$32</f>
        <v>581276.45752550242</v>
      </c>
      <c r="N39" s="31">
        <f>Belgium!N$15+Denmark!N$24+Italy!N$25+Poland!N$22+Spain!N$14+Switzerland!N$24+Netherlands!N$12+UK!N$16+'Czech Republic'!N$16+France!N$32</f>
        <v>554713.16169807711</v>
      </c>
      <c r="O39" s="31">
        <f>Belgium!O$15+Denmark!O$24+Italy!O$25+Poland!O$22+Spain!O$14+Switzerland!O$24+Netherlands!O$12+UK!O$16+'Czech Republic'!O$16+France!O$32</f>
        <v>563808.41709903686</v>
      </c>
      <c r="P39" s="31">
        <f>Belgium!P$15+Denmark!P$24+Italy!P$25+Poland!P$22+Spain!P$14+Switzerland!P$24+Netherlands!P$12+UK!P$16+'Czech Republic'!P$16+France!P$32</f>
        <v>365714</v>
      </c>
      <c r="Q39" s="31">
        <f>Belgium!Q$15+Denmark!Q$24+Italy!Q$25+Poland!Q$22+Spain!Q$14+Switzerland!Q$24+Netherlands!Q$12+UK!Q$16+'Czech Republic'!Q$16+France!Q$32</f>
        <v>548848</v>
      </c>
      <c r="R39" s="31">
        <f>Belgium!R$15+Denmark!R$24+Italy!R$25+Poland!R$22+Spain!R$14+Switzerland!R$24+Netherlands!R$12+UK!R$16+'Czech Republic'!R$16+France!R$32</f>
        <v>432893</v>
      </c>
      <c r="S39" s="32">
        <f>Belgium!S$15+Denmark!S$24+Italy!S$25+Poland!S$22+Spain!S$14+Switzerland!S$24+Netherlands!S$12+UK!S$16+'Czech Republic'!S$16+France!S$32</f>
        <v>466108</v>
      </c>
    </row>
    <row r="40" spans="1:19">
      <c r="A40" s="29" t="s">
        <v>94</v>
      </c>
      <c r="B40" s="30">
        <f t="shared" si="2"/>
        <v>-7.5726432689572909E-2</v>
      </c>
      <c r="C40" s="105">
        <f>E40-'[1]EU variety'!C40</f>
        <v>-3922.5641482521423</v>
      </c>
      <c r="D40" s="31">
        <f>F40-'[1]EU variety'!D40</f>
        <v>-5607.7874764417338</v>
      </c>
      <c r="E40" s="164">
        <f>Belgium!E$16+Italy!E$26+Poland!E$23+Netherlands!E$13+UK!E$17+France!E$33+Denmark!E$25</f>
        <v>15103.25275369122</v>
      </c>
      <c r="F40" s="31">
        <f>Belgium!F$16+Italy!F$26+Poland!F$23+Netherlands!F$13+UK!F$17+France!F$33+Denmark!F$25</f>
        <v>16340.673679158275</v>
      </c>
      <c r="G40" s="31">
        <f>Belgium!G$16+Italy!G$26+Poland!G$23+Netherlands!G$13+UK!G$17+France!G$33+Denmark!G$25</f>
        <v>17229.250824851362</v>
      </c>
      <c r="H40" s="31">
        <f>Belgium!H$16+Italy!H$26+Poland!H$23+Netherlands!H$13+UK!H$17+France!H$33+Denmark!H$25</f>
        <v>32637.58546560783</v>
      </c>
      <c r="I40" s="31">
        <f>Belgium!I$16+Italy!I$26+Poland!I$23+Netherlands!I$13+UK!I$17+France!I$33+Denmark!I$25</f>
        <v>22247.542484624599</v>
      </c>
      <c r="J40" s="31">
        <v>33866.57350152736</v>
      </c>
      <c r="K40" s="31">
        <v>20284</v>
      </c>
      <c r="L40" s="31">
        <f>Belgium!L$16+Italy!L$26+Poland!L$23+Netherlands!L$13+UK!L$17+France!L$33+Denmark!L$25</f>
        <v>31568.265755905206</v>
      </c>
      <c r="M40" s="31">
        <f>Belgium!M$16+Italy!M$26+Poland!M$23+Netherlands!M$13+UK!M$17+France!M$33+Denmark!M$25</f>
        <v>42138.194743571272</v>
      </c>
      <c r="N40" s="31">
        <f>Belgium!N$16+Italy!N$26+Poland!N$23+Netherlands!N$13+UK!N$17+France!N$33+Denmark!N$25</f>
        <v>42521.154609017001</v>
      </c>
      <c r="O40" s="31">
        <f>Belgium!O$16+Italy!O$26+Poland!O$23+Netherlands!O$13+UK!O$17+France!O$33+Denmark!O$25</f>
        <v>47201.082102014203</v>
      </c>
      <c r="P40" s="31">
        <f>Belgium!P$16+Italy!P$26+Poland!P$23+Netherlands!P$13+UK!P$17+France!P$33+Denmark!P$25</f>
        <v>22279</v>
      </c>
      <c r="Q40" s="31">
        <f>Belgium!Q$16+Italy!Q$26+Poland!Q$23+Netherlands!Q$13+UK!Q$17+France!Q$33+Denmark!Q$25</f>
        <v>47139</v>
      </c>
      <c r="R40" s="31">
        <f>Belgium!R$16+Italy!R$26+Poland!R$23+Netherlands!R$13+UK!R$17+France!R$33+Denmark!R$25</f>
        <v>37578</v>
      </c>
      <c r="S40" s="32">
        <f>Belgium!S$16+Italy!S$26+Poland!S$23+Netherlands!S$13+UK!S$17+France!S$33+Denmark!S$25</f>
        <v>48882</v>
      </c>
    </row>
    <row r="41" spans="1:19">
      <c r="A41" s="29" t="s">
        <v>29</v>
      </c>
      <c r="B41" s="30">
        <f t="shared" si="2"/>
        <v>-0.57034405556337431</v>
      </c>
      <c r="C41" s="105">
        <f>E41-'[1]EU variety'!C41</f>
        <v>-6109.1331095956093</v>
      </c>
      <c r="D41" s="31">
        <f>F41-'[1]EU variety'!D41</f>
        <v>-6298</v>
      </c>
      <c r="E41" s="164">
        <f>Italy!E$27</f>
        <v>3944.2415699282237</v>
      </c>
      <c r="F41" s="31">
        <f>Italy!F$27</f>
        <v>9180</v>
      </c>
      <c r="G41" s="31">
        <f>Italy!G$27</f>
        <v>5142.4802740449477</v>
      </c>
      <c r="H41" s="31">
        <f>Italy!H$27</f>
        <v>25656.289950113969</v>
      </c>
      <c r="I41" s="31">
        <f>Italy!I$27</f>
        <v>8438.3165861742236</v>
      </c>
      <c r="J41" s="31">
        <v>24119.809259286663</v>
      </c>
      <c r="K41" s="31">
        <v>25577</v>
      </c>
      <c r="L41" s="31">
        <f>Italy!L$27</f>
        <v>21392</v>
      </c>
      <c r="M41" s="31">
        <f>Italy!M$27</f>
        <v>30103</v>
      </c>
      <c r="N41" s="31">
        <f>Italy!N$27</f>
        <v>23589.152289198999</v>
      </c>
      <c r="O41" s="31">
        <f>Italy!O$27</f>
        <v>39673.985172242901</v>
      </c>
      <c r="P41" s="31">
        <f>Italy!P$27</f>
        <v>24182</v>
      </c>
      <c r="Q41" s="31">
        <f>Italy!Q$27</f>
        <v>41960</v>
      </c>
      <c r="R41" s="31">
        <f>Italy!R$27</f>
        <v>21370</v>
      </c>
      <c r="S41" s="32">
        <f>Italy!S$27</f>
        <v>38019</v>
      </c>
    </row>
    <row r="42" spans="1:19">
      <c r="A42" s="29" t="s">
        <v>150</v>
      </c>
      <c r="B42" s="30" t="str">
        <f t="shared" si="2"/>
        <v/>
      </c>
      <c r="C42" s="105"/>
      <c r="D42" s="31"/>
      <c r="E42" s="164">
        <f>Portugal!E$13</f>
        <v>0</v>
      </c>
      <c r="F42" s="31">
        <f>Portugal!F$13</f>
        <v>0</v>
      </c>
      <c r="G42" s="31">
        <f>Portugal!G$13</f>
        <v>0</v>
      </c>
      <c r="H42" s="31">
        <f>Portugal!H$13</f>
        <v>0</v>
      </c>
      <c r="I42" s="31">
        <f>Portugal!I$13</f>
        <v>0</v>
      </c>
      <c r="J42" s="31">
        <v>0</v>
      </c>
      <c r="K42" s="31">
        <v>0</v>
      </c>
      <c r="L42" s="31">
        <f>Portugal!N$13</f>
        <v>0</v>
      </c>
      <c r="M42" s="31">
        <f>Portugal!O$13</f>
        <v>0</v>
      </c>
      <c r="N42" s="31">
        <f>Portugal!P$13</f>
        <v>0</v>
      </c>
      <c r="O42" s="31">
        <f>Portugal!Q$13</f>
        <v>0</v>
      </c>
      <c r="P42" s="31">
        <f>Portugal!R$13</f>
        <v>0</v>
      </c>
      <c r="Q42" s="31">
        <f>Portugal!T$13</f>
        <v>0</v>
      </c>
      <c r="R42" s="31">
        <f>Portugal!U$13</f>
        <v>0</v>
      </c>
      <c r="S42" s="32">
        <f>Portugal!V$13</f>
        <v>0</v>
      </c>
    </row>
    <row r="43" spans="1:19" ht="13.8" thickBot="1">
      <c r="A43" s="33" t="s">
        <v>5</v>
      </c>
      <c r="B43" s="34">
        <f t="shared" si="2"/>
        <v>-0.26662516003756465</v>
      </c>
      <c r="C43" s="106">
        <f>E43-'[1]EU variety'!C43</f>
        <v>-20644.112470834451</v>
      </c>
      <c r="D43" s="35">
        <f>F43-'[1]EU variety'!D43</f>
        <v>-21670.364884208931</v>
      </c>
      <c r="E43" s="166">
        <f>Belgium!E$17+Belgium!E$19+Denmark!E$26+Germany!E$25+Italy!E$28+Poland!E$24+Spain!E$15+Spain!E$16+Switzerland!E$23+Switzerland!E$25+Switzerland!E$26+Switzerland!E$27+Netherlands!E$14+UK!E$18+'Czech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60814.422455924279</v>
      </c>
      <c r="F43" s="35">
        <f>Belgium!F$17+Belgium!F$19+Denmark!F$26+Germany!F$25+Italy!F$28+Poland!F$24+Spain!F$15+Spain!F$16+Switzerland!F$23+Switzerland!F$25+Switzerland!F$26+Switzerland!F$27+Netherlands!F$14+UK!F$18+'Czech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82924.064396645088</v>
      </c>
      <c r="G43" s="35">
        <f>Belgium!G$17+Belgium!G$19+Denmark!G$26+Germany!G$25+Italy!G$28+Poland!G$24+Spain!G$15+Spain!G$16+Switzerland!G$23+Switzerland!G$25+Switzerland!G$26+Switzerland!G$27+Netherlands!G$14+UK!G$18+'Czech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</f>
        <v>74007.519003740512</v>
      </c>
      <c r="H43" s="35">
        <f>Belgium!H$17+Belgium!H$19+Denmark!H$26+Germany!H$25+Italy!H$28+Poland!H$24+Spain!H$15+Spain!H$16+Switzerland!H$23+Switzerland!H$25+Switzerland!H$26+Switzerland!H$27+Netherlands!H$14+UK!H$18+'Czech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</f>
        <v>108779.42485329602</v>
      </c>
      <c r="I43" s="35">
        <f>Belgium!I$17+Belgium!I$19+Denmark!I$26+Germany!I$25+Italy!I$28+Poland!I$24+Spain!I$15+Spain!I$16+Switzerland!I$23+Switzerland!I$25+Switzerland!I$26+Switzerland!I$27+Netherlands!I$14+UK!I$18+'Czech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87859.49765465087</v>
      </c>
      <c r="J43" s="35">
        <v>98554.500963122453</v>
      </c>
      <c r="K43" s="35">
        <v>61343</v>
      </c>
      <c r="L43" s="35">
        <f>Belgium!L$19+Belgium!L$17+Denmark!L$26+Germany!L$25+Italy!L$28+Poland!L$24+Spain!L$15+Spain!L$16+Switzerland!L$23+Switzerland!L$25+Switzerland!L$27+Switzerland!L$26+Netherlands!L$14+UK!L$18+'Czech Republic'!L$17+'Czech Republic'!L$18+'Czech Republic'!L$19+'Czech Republic'!L$20+France!L$31+France!L$35+France!L$36+France!L$37+France!L$30</f>
        <v>74603.911933959171</v>
      </c>
      <c r="M43" s="35">
        <f>Belgium!M$19+Belgium!M$17+Denmark!M$26+Germany!M$25+Italy!M$28+Poland!M$24+Spain!M$15+Spain!M$16+Switzerland!M$23+Switzerland!M$25+Switzerland!M$27+Switzerland!M$26+Netherlands!M$14+UK!M$18+'Czech Republic'!M$17+'Czech Republic'!M$18+'Czech Republic'!M$19+'Czech Republic'!M$20+France!M$31+France!M$35+France!M$36+France!M$37+France!M$30</f>
        <v>90922.210259255764</v>
      </c>
      <c r="N43" s="35">
        <f>Belgium!N$19+Belgium!N$17+Denmark!N$26+Germany!N$25+Italy!N$28+Poland!N$24+Spain!N$15+Spain!N$16+Switzerland!N$23+Switzerland!N$25+Switzerland!N$27+Switzerland!N$26+Netherlands!N$14+UK!N$18+'Czech Republic'!N$17+'Czech Republic'!N$18+'Czech Republic'!N$19+'Czech Republic'!N$20+France!N$31+France!N$35+France!N$36+France!N$37+France!N$30</f>
        <v>86656.251494857366</v>
      </c>
      <c r="O43" s="35">
        <f>Belgium!O$19+Belgium!O$17+Denmark!O$26+Germany!O$25+Italy!O$28+Poland!O$24+Spain!O$15+Spain!O$16+Switzerland!O$23+Switzerland!O$25+Switzerland!O$27+Switzerland!O$26+Netherlands!O$14+UK!O$18+'Czech Republic'!O$17+'Czech Republic'!O$18+'Czech Republic'!O$19+'Czech Republic'!O$20+France!O$31+France!O$35+France!O$36+France!O$37+France!O$30</f>
        <v>125238.37619778604</v>
      </c>
      <c r="P43" s="35">
        <f>Belgium!P$19+Belgium!P$17+Denmark!P$26+Germany!P$25+Italy!P$28+Poland!P$24+Spain!P$15+Spain!P$16+Switzerland!P$23+Switzerland!P$25+Switzerland!P$27+Switzerland!P$26+Netherlands!P$14+UK!P$18+'Czech Republic'!P$17+'Czech Republic'!P$18+'Czech Republic'!P$19+'Czech Republic'!P$20+France!P$31+France!P$35+France!P$36+France!P$37+France!P$30</f>
        <v>63883</v>
      </c>
      <c r="Q43" s="35">
        <f>Belgium!Q$19+Denmark!Q$26+Germany!Q$25+Italy!Q$28+Poland!Q$24+Spain!Q$15+Spain!Q$16+Switzerland!Q$23+Switzerland!Q$25+Switzerland!Q$27+Netherlands!Q$14+UK!Q$18+'Czech Republic'!Q$17+'Czech Republic'!Q$20+France!Q$31+France!Q$35+France!Q$36+France!Q$37+France!Q$30</f>
        <v>100815</v>
      </c>
      <c r="R43" s="35">
        <f>Belgium!R$19+Denmark!R$26+Germany!R$25+Italy!R$28+Poland!R$24+Spain!R$15+Spain!R$16+Switzerland!R$23+Switzerland!R$25+Switzerland!R$27+Netherlands!R$14+UK!R$18+'Czech Republic'!R$17+'Czech Republic'!R$20+France!R$31+France!R$35+France!R$36+France!R$37+France!R$30</f>
        <v>56046</v>
      </c>
      <c r="S43" s="36">
        <f>Belgium!S$19+Denmark!S$26+Germany!S$25+Italy!S$28+Poland!S$24+Spain!S$15+Spain!S$16+Switzerland!S$23+Switzerland!S$25+Switzerland!S$27+Netherlands!S$14+UK!S$18+'Czech Republic'!S$17+'Czech Republic'!S$20+France!S$31+France!S$35+France!S$36+France!S$37+France!S$30</f>
        <v>77094</v>
      </c>
    </row>
    <row r="44" spans="1:19" ht="13.8" thickBot="1">
      <c r="A44" s="37" t="s">
        <v>93</v>
      </c>
      <c r="B44" s="38">
        <f t="shared" si="2"/>
        <v>-2.1583512653814196E-2</v>
      </c>
      <c r="C44" s="107"/>
      <c r="D44" s="39"/>
      <c r="E44" s="163">
        <f>SUM(E36:E43)</f>
        <v>661519.02733974636</v>
      </c>
      <c r="F44" s="39">
        <f>SUM(F36:F43)</f>
        <v>676111.8970245705</v>
      </c>
      <c r="G44" s="39">
        <f>SUM(G36:G43)</f>
        <v>655673.9741538252</v>
      </c>
      <c r="H44" s="39">
        <f>SUM(H36:H43)</f>
        <v>899278.22719276848</v>
      </c>
      <c r="I44" s="39">
        <f>SUM(I36:I43)</f>
        <v>681834.56282623264</v>
      </c>
      <c r="J44" s="39">
        <v>912620.93250729586</v>
      </c>
      <c r="K44" s="39">
        <v>815563</v>
      </c>
      <c r="L44" s="39">
        <f>SUM(L36:L43)</f>
        <v>835422.66620058473</v>
      </c>
      <c r="M44" s="39">
        <f t="shared" ref="M44:S44" si="3">SUM(M36:M43)</f>
        <v>948631.42144917685</v>
      </c>
      <c r="N44" s="39">
        <f t="shared" si="3"/>
        <v>922229.30568824639</v>
      </c>
      <c r="O44" s="39">
        <f t="shared" si="3"/>
        <v>1020378.6730449015</v>
      </c>
      <c r="P44" s="39">
        <f t="shared" si="3"/>
        <v>644650</v>
      </c>
      <c r="Q44" s="39">
        <f t="shared" si="3"/>
        <v>1030987</v>
      </c>
      <c r="R44" s="39">
        <f t="shared" si="3"/>
        <v>683955</v>
      </c>
      <c r="S44" s="40">
        <f t="shared" si="3"/>
        <v>797892</v>
      </c>
    </row>
    <row r="45" spans="1:19">
      <c r="A45" s="26" t="s">
        <v>171</v>
      </c>
    </row>
  </sheetData>
  <pageMargins left="0.75" right="0.75" top="1" bottom="1" header="0.5" footer="0.5"/>
  <pageSetup paperSize="9" scale="83" fitToHeight="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50" t="s">
        <v>100</v>
      </c>
      <c r="B2" s="51">
        <f t="shared" ref="B2:B21" si="0">IFERROR((E2/F2-1), "")</f>
        <v>-0.3293390702647101</v>
      </c>
      <c r="C2" s="132">
        <f>E2-[1]Austria!C2</f>
        <v>-43.902269724187477</v>
      </c>
      <c r="D2" s="70">
        <f>F2-[1]Austria!D2</f>
        <v>-109.36533732308385</v>
      </c>
      <c r="E2" s="168">
        <v>588.87550805359024</v>
      </c>
      <c r="F2" s="70">
        <v>878.05250305250308</v>
      </c>
      <c r="G2" s="70">
        <v>527.24358974358972</v>
      </c>
      <c r="H2" s="70">
        <v>789.34999999999991</v>
      </c>
      <c r="I2" s="70">
        <v>849</v>
      </c>
      <c r="J2" s="70">
        <v>854</v>
      </c>
      <c r="K2" s="70">
        <v>337</v>
      </c>
      <c r="L2" s="31">
        <v>38.08</v>
      </c>
      <c r="M2" s="31">
        <v>1685.88</v>
      </c>
      <c r="N2" s="31">
        <v>1916.6399999999999</v>
      </c>
      <c r="O2" s="31">
        <v>1754</v>
      </c>
      <c r="P2" s="31">
        <v>1734</v>
      </c>
      <c r="Q2" s="31"/>
      <c r="R2" s="31">
        <v>2467</v>
      </c>
      <c r="S2" s="31">
        <v>2852</v>
      </c>
      <c r="T2" s="31">
        <v>3464</v>
      </c>
      <c r="U2" s="31">
        <v>2902</v>
      </c>
      <c r="V2" s="32">
        <v>2470</v>
      </c>
    </row>
    <row r="3" spans="1:22">
      <c r="A3" s="50" t="s">
        <v>3</v>
      </c>
      <c r="B3" s="51">
        <f t="shared" si="0"/>
        <v>-0.61780821917808226</v>
      </c>
      <c r="C3" s="132">
        <f>E3-[1]Austria!C3</f>
        <v>-133.71385083713847</v>
      </c>
      <c r="D3" s="70">
        <f>F3-[1]Austria!D3</f>
        <v>-99.061032863849732</v>
      </c>
      <c r="E3" s="168">
        <v>127.39726027397261</v>
      </c>
      <c r="F3" s="70">
        <v>333.33333333333337</v>
      </c>
      <c r="G3" s="70">
        <v>134.72222222222223</v>
      </c>
      <c r="H3" s="70">
        <v>28.6</v>
      </c>
      <c r="I3" s="70">
        <v>0</v>
      </c>
      <c r="J3" s="70">
        <v>105</v>
      </c>
      <c r="K3" s="70">
        <v>10</v>
      </c>
      <c r="L3" s="31">
        <v>3.36</v>
      </c>
      <c r="M3" s="31">
        <v>66.08</v>
      </c>
      <c r="N3" s="31">
        <v>57</v>
      </c>
      <c r="O3" s="31">
        <v>84</v>
      </c>
      <c r="P3" s="31">
        <v>36</v>
      </c>
      <c r="Q3" s="31"/>
      <c r="R3" s="31">
        <v>0</v>
      </c>
      <c r="S3" s="31">
        <v>49</v>
      </c>
      <c r="T3" s="31">
        <v>18</v>
      </c>
      <c r="U3" s="31"/>
      <c r="V3" s="32"/>
    </row>
    <row r="4" spans="1:22">
      <c r="A4" s="50" t="s">
        <v>10</v>
      </c>
      <c r="B4" s="51">
        <f t="shared" si="0"/>
        <v>-0.38134747074568465</v>
      </c>
      <c r="C4" s="132">
        <f>E4-[1]Austria!C4</f>
        <v>666.00970946861344</v>
      </c>
      <c r="D4" s="70">
        <f>F4-[1]Austria!D4</f>
        <v>36.960222875715772</v>
      </c>
      <c r="E4" s="168">
        <v>6298.5097094686143</v>
      </c>
      <c r="F4" s="70">
        <v>10181.013431013431</v>
      </c>
      <c r="G4" s="70">
        <v>7603.1593406593402</v>
      </c>
      <c r="H4" s="70">
        <v>7880.2000000000007</v>
      </c>
      <c r="I4" s="70">
        <v>9430</v>
      </c>
      <c r="J4" s="70">
        <v>11892</v>
      </c>
      <c r="K4" s="70">
        <v>5419</v>
      </c>
      <c r="L4" s="31">
        <v>2348.52</v>
      </c>
      <c r="M4" s="31">
        <v>13178.04</v>
      </c>
      <c r="N4" s="31">
        <v>13629.16</v>
      </c>
      <c r="O4" s="31">
        <v>13074</v>
      </c>
      <c r="P4" s="31">
        <v>12295</v>
      </c>
      <c r="Q4" s="31"/>
      <c r="R4" s="31">
        <v>16218</v>
      </c>
      <c r="S4" s="31">
        <v>16455</v>
      </c>
      <c r="T4" s="31">
        <v>13063</v>
      </c>
      <c r="U4" s="31">
        <v>12769</v>
      </c>
      <c r="V4" s="32">
        <v>9929</v>
      </c>
    </row>
    <row r="5" spans="1:22">
      <c r="A5" s="50" t="s">
        <v>1</v>
      </c>
      <c r="B5" s="51">
        <f t="shared" si="0"/>
        <v>-0.36175997679193772</v>
      </c>
      <c r="C5" s="132">
        <f>E5-[1]Austria!C5</f>
        <v>-415.82952815829503</v>
      </c>
      <c r="D5" s="70">
        <f>F5-[1]Austria!D5</f>
        <v>-694.34766719977961</v>
      </c>
      <c r="E5" s="168">
        <v>3439.7260273972606</v>
      </c>
      <c r="F5" s="70">
        <v>5389.3925518925525</v>
      </c>
      <c r="G5" s="70">
        <v>3332.4633699633696</v>
      </c>
      <c r="H5" s="70">
        <v>2503.8000000000002</v>
      </c>
      <c r="I5" s="70">
        <v>2772</v>
      </c>
      <c r="J5" s="70">
        <v>4874</v>
      </c>
      <c r="K5" s="70">
        <v>1618</v>
      </c>
      <c r="L5" s="31">
        <v>133.28</v>
      </c>
      <c r="M5" s="31">
        <v>3161.64</v>
      </c>
      <c r="N5" s="31">
        <v>3389.12</v>
      </c>
      <c r="O5" s="31">
        <v>3360</v>
      </c>
      <c r="P5" s="31">
        <v>3193</v>
      </c>
      <c r="Q5" s="31"/>
      <c r="R5" s="31">
        <v>4222</v>
      </c>
      <c r="S5" s="31">
        <v>4710</v>
      </c>
      <c r="T5" s="31">
        <v>4086</v>
      </c>
      <c r="U5" s="31">
        <v>5017</v>
      </c>
      <c r="V5" s="32">
        <v>5616</v>
      </c>
    </row>
    <row r="6" spans="1:22">
      <c r="A6" s="50" t="s">
        <v>142</v>
      </c>
      <c r="B6" s="51">
        <f t="shared" si="0"/>
        <v>-6.0825658048529574E-2</v>
      </c>
      <c r="C6" s="132">
        <f>E6-[1]Austria!C6</f>
        <v>-440.88660578386589</v>
      </c>
      <c r="D6" s="70">
        <f>F6-[1]Austria!D6</f>
        <v>-428.71674491392878</v>
      </c>
      <c r="E6" s="168">
        <v>7643.8356164383567</v>
      </c>
      <c r="F6" s="70">
        <v>8138.8888888888887</v>
      </c>
      <c r="G6" s="70">
        <v>6068.0555555555557</v>
      </c>
      <c r="H6" s="70">
        <v>12571.75</v>
      </c>
      <c r="I6" s="70">
        <v>9860</v>
      </c>
      <c r="J6" s="70">
        <v>8898</v>
      </c>
      <c r="K6" s="70">
        <v>4982</v>
      </c>
      <c r="L6" s="31">
        <v>3019.52</v>
      </c>
      <c r="M6" s="31">
        <v>6138.72</v>
      </c>
      <c r="N6" s="31">
        <v>5300.96</v>
      </c>
      <c r="O6" s="31">
        <v>3322</v>
      </c>
      <c r="P6" s="31">
        <v>2267</v>
      </c>
      <c r="Q6" s="31"/>
      <c r="R6" s="31">
        <v>811</v>
      </c>
      <c r="S6" s="31"/>
      <c r="T6" s="31"/>
      <c r="U6" s="31"/>
      <c r="V6" s="32"/>
    </row>
    <row r="7" spans="1:22">
      <c r="A7" s="50" t="s">
        <v>11</v>
      </c>
      <c r="B7" s="51">
        <f t="shared" si="0"/>
        <v>-0.19189353071391158</v>
      </c>
      <c r="C7" s="132">
        <f>E7-[1]Austria!C7</f>
        <v>619.31126331811265</v>
      </c>
      <c r="D7" s="70">
        <f>F7-[1]Austria!D7</f>
        <v>127.87898330151847</v>
      </c>
      <c r="E7" s="168">
        <v>2209.5890410958905</v>
      </c>
      <c r="F7" s="70">
        <v>2734.2796092796093</v>
      </c>
      <c r="G7" s="70">
        <v>2668.8492063492063</v>
      </c>
      <c r="H7" s="70">
        <v>2174.15</v>
      </c>
      <c r="I7" s="70">
        <v>2371</v>
      </c>
      <c r="J7" s="70">
        <v>3163</v>
      </c>
      <c r="K7" s="70">
        <v>1686</v>
      </c>
      <c r="L7" s="31">
        <v>667.52</v>
      </c>
      <c r="M7" s="70">
        <v>2796.64</v>
      </c>
      <c r="N7" s="70">
        <v>2890.52</v>
      </c>
      <c r="O7" s="70">
        <v>2582</v>
      </c>
      <c r="P7" s="70">
        <v>1907</v>
      </c>
      <c r="Q7" s="70"/>
      <c r="R7" s="70">
        <v>1849</v>
      </c>
      <c r="S7" s="70">
        <v>3253</v>
      </c>
      <c r="T7" s="70">
        <v>1418</v>
      </c>
      <c r="U7" s="31"/>
      <c r="V7" s="32"/>
    </row>
    <row r="8" spans="1:22">
      <c r="A8" s="50" t="s">
        <v>8</v>
      </c>
      <c r="B8" s="51">
        <f t="shared" si="0"/>
        <v>-0.18380943124782267</v>
      </c>
      <c r="C8" s="132">
        <f>E8-[1]Austria!C8</f>
        <v>-3199.5132303009013</v>
      </c>
      <c r="D8" s="70">
        <f>F8-[1]Austria!D8</f>
        <v>-3342.9922698584705</v>
      </c>
      <c r="E8" s="168">
        <v>25481.875658587989</v>
      </c>
      <c r="F8" s="70">
        <v>31220.497557997558</v>
      </c>
      <c r="G8" s="70">
        <v>24482.142857142855</v>
      </c>
      <c r="H8" s="70">
        <v>18987.25</v>
      </c>
      <c r="I8" s="70">
        <v>22351</v>
      </c>
      <c r="J8" s="70">
        <v>25242</v>
      </c>
      <c r="K8" s="70">
        <v>12675</v>
      </c>
      <c r="L8" s="31">
        <v>2041.08</v>
      </c>
      <c r="M8" s="31">
        <v>26453.64</v>
      </c>
      <c r="N8" s="31">
        <v>21585.4</v>
      </c>
      <c r="O8" s="31">
        <v>23640</v>
      </c>
      <c r="P8" s="31">
        <v>19598</v>
      </c>
      <c r="Q8" s="31"/>
      <c r="R8" s="31">
        <v>25790</v>
      </c>
      <c r="S8" s="31">
        <v>23069</v>
      </c>
      <c r="T8" s="31">
        <v>19514</v>
      </c>
      <c r="U8" s="31">
        <v>19815</v>
      </c>
      <c r="V8" s="32">
        <v>13598</v>
      </c>
    </row>
    <row r="9" spans="1:22">
      <c r="A9" s="50" t="s">
        <v>13</v>
      </c>
      <c r="B9" s="51" t="str">
        <f t="shared" si="0"/>
        <v/>
      </c>
      <c r="C9" s="132">
        <f>E9-[1]Austria!C9</f>
        <v>0</v>
      </c>
      <c r="D9" s="70">
        <f>F9-[1]Austria!D9</f>
        <v>0</v>
      </c>
      <c r="E9" s="168"/>
      <c r="F9" s="70"/>
      <c r="G9" s="70"/>
      <c r="H9" s="70"/>
      <c r="I9" s="70"/>
      <c r="J9" s="70">
        <v>0</v>
      </c>
      <c r="K9" s="70"/>
      <c r="L9" s="31"/>
      <c r="M9" s="31"/>
      <c r="N9" s="31"/>
      <c r="O9" s="31"/>
      <c r="P9" s="31"/>
      <c r="Q9" s="31"/>
      <c r="R9" s="31">
        <v>21</v>
      </c>
      <c r="S9" s="31">
        <v>568</v>
      </c>
      <c r="T9" s="31">
        <v>170</v>
      </c>
      <c r="U9" s="31">
        <v>163</v>
      </c>
      <c r="V9" s="32">
        <v>367</v>
      </c>
    </row>
    <row r="10" spans="1:22">
      <c r="A10" s="50" t="s">
        <v>2</v>
      </c>
      <c r="B10" s="51">
        <f t="shared" si="0"/>
        <v>-0.16420914033316059</v>
      </c>
      <c r="C10" s="132">
        <f>E10-[1]Austria!C10</f>
        <v>-1610.6864786659316</v>
      </c>
      <c r="D10" s="70">
        <f>F10-[1]Austria!D10</f>
        <v>-2289.3467643467629</v>
      </c>
      <c r="E10" s="168">
        <v>23104.591299111846</v>
      </c>
      <c r="F10" s="70">
        <v>27643.986568986569</v>
      </c>
      <c r="G10" s="70">
        <v>29766.315628815628</v>
      </c>
      <c r="H10" s="70">
        <v>31349.649999999998</v>
      </c>
      <c r="I10" s="70">
        <v>28929</v>
      </c>
      <c r="J10" s="70">
        <v>27674</v>
      </c>
      <c r="K10" s="70">
        <v>25638</v>
      </c>
      <c r="L10" s="31">
        <v>19195.52</v>
      </c>
      <c r="M10" s="31">
        <v>43246.400000000001</v>
      </c>
      <c r="N10" s="31">
        <v>49764.6</v>
      </c>
      <c r="O10" s="31">
        <v>34928</v>
      </c>
      <c r="P10" s="31">
        <v>45592</v>
      </c>
      <c r="Q10" s="31"/>
      <c r="R10" s="31">
        <v>49057</v>
      </c>
      <c r="S10" s="31">
        <v>45463</v>
      </c>
      <c r="T10" s="31">
        <v>48704</v>
      </c>
      <c r="U10" s="31">
        <v>47502</v>
      </c>
      <c r="V10" s="32">
        <v>39970</v>
      </c>
    </row>
    <row r="11" spans="1:22">
      <c r="A11" s="50" t="s">
        <v>16</v>
      </c>
      <c r="B11" s="51">
        <f t="shared" si="0"/>
        <v>-0.27580503399430534</v>
      </c>
      <c r="C11" s="132">
        <f>E11-[1]Austria!C11</f>
        <v>-110.06297355612423</v>
      </c>
      <c r="D11" s="70">
        <f>F11-[1]Austria!D11</f>
        <v>-137.03932999707649</v>
      </c>
      <c r="E11" s="168">
        <v>828.27035977720914</v>
      </c>
      <c r="F11" s="70">
        <v>1143.7118437118438</v>
      </c>
      <c r="G11" s="70">
        <v>853.63247863247864</v>
      </c>
      <c r="H11" s="70">
        <v>549.35</v>
      </c>
      <c r="I11" s="70">
        <v>596</v>
      </c>
      <c r="J11" s="70">
        <v>227</v>
      </c>
      <c r="K11" s="70">
        <v>160</v>
      </c>
      <c r="L11" s="31">
        <v>60.480000000000004</v>
      </c>
      <c r="M11" s="70">
        <v>293.44</v>
      </c>
      <c r="N11" s="70">
        <v>827.68000000000006</v>
      </c>
      <c r="O11" s="70">
        <v>202</v>
      </c>
      <c r="P11" s="70">
        <v>142</v>
      </c>
      <c r="Q11" s="70"/>
      <c r="R11" s="70">
        <v>257</v>
      </c>
      <c r="S11" s="70">
        <v>125</v>
      </c>
      <c r="T11" s="70">
        <v>99</v>
      </c>
      <c r="U11" s="31"/>
      <c r="V11" s="32"/>
    </row>
    <row r="12" spans="1:22">
      <c r="A12" s="71" t="s">
        <v>9</v>
      </c>
      <c r="B12" s="51">
        <f t="shared" si="0"/>
        <v>-0.42523149096067314</v>
      </c>
      <c r="C12" s="132">
        <f>E12-[1]Austria!C12</f>
        <v>-5.4523558633145512</v>
      </c>
      <c r="D12" s="70">
        <f>F12-[1]Austria!D12</f>
        <v>-204.32079657431768</v>
      </c>
      <c r="E12" s="168">
        <v>2934.5476441366854</v>
      </c>
      <c r="F12" s="70">
        <v>5105.6166056166057</v>
      </c>
      <c r="G12" s="70">
        <v>3944.2155067155068</v>
      </c>
      <c r="H12" s="70">
        <v>5727.5</v>
      </c>
      <c r="I12" s="70">
        <v>6177</v>
      </c>
      <c r="J12" s="70">
        <v>10625</v>
      </c>
      <c r="K12" s="70">
        <v>4267</v>
      </c>
      <c r="L12" s="31">
        <v>379.52</v>
      </c>
      <c r="M12" s="70">
        <v>15606.119999999999</v>
      </c>
      <c r="N12" s="70">
        <v>15631.96</v>
      </c>
      <c r="O12" s="70">
        <v>18639</v>
      </c>
      <c r="P12" s="70">
        <v>14767</v>
      </c>
      <c r="Q12" s="70"/>
      <c r="R12" s="70">
        <v>21424</v>
      </c>
      <c r="S12" s="70">
        <v>22753</v>
      </c>
      <c r="T12" s="70">
        <v>20329</v>
      </c>
      <c r="U12" s="31">
        <v>20814</v>
      </c>
      <c r="V12" s="32">
        <v>21653</v>
      </c>
    </row>
    <row r="13" spans="1:22">
      <c r="A13" s="71" t="s">
        <v>26</v>
      </c>
      <c r="B13" s="51">
        <f t="shared" si="0"/>
        <v>-0.61523305648810533</v>
      </c>
      <c r="C13" s="132">
        <f>E13-[1]Austria!C13</f>
        <v>-618.22959004465838</v>
      </c>
      <c r="D13" s="70">
        <f>F13-[1]Austria!D13</f>
        <v>40.127517240193811</v>
      </c>
      <c r="E13" s="168">
        <v>1925.9370766220081</v>
      </c>
      <c r="F13" s="70">
        <v>5005.463980463981</v>
      </c>
      <c r="G13" s="70">
        <v>3729.4719169719169</v>
      </c>
      <c r="H13" s="70">
        <v>2869.3999999999996</v>
      </c>
      <c r="I13" s="70">
        <v>6004</v>
      </c>
      <c r="J13" s="70">
        <v>8282</v>
      </c>
      <c r="K13" s="70">
        <v>3834</v>
      </c>
      <c r="L13" s="31">
        <v>1535.4</v>
      </c>
      <c r="M13" s="70">
        <v>8652.68</v>
      </c>
      <c r="N13" s="70">
        <v>9490.36</v>
      </c>
      <c r="O13" s="70">
        <v>8354</v>
      </c>
      <c r="P13" s="70">
        <v>7434</v>
      </c>
      <c r="Q13" s="70"/>
      <c r="R13" s="70">
        <v>10986</v>
      </c>
      <c r="S13" s="70">
        <v>11443</v>
      </c>
      <c r="T13" s="70">
        <v>8368</v>
      </c>
      <c r="U13" s="31">
        <v>10033</v>
      </c>
      <c r="V13" s="32">
        <v>10243</v>
      </c>
    </row>
    <row r="14" spans="1:22">
      <c r="A14" s="50" t="s">
        <v>25</v>
      </c>
      <c r="B14" s="51" t="str">
        <f t="shared" si="0"/>
        <v/>
      </c>
      <c r="C14" s="132">
        <f>E14-[1]Austria!C14</f>
        <v>0</v>
      </c>
      <c r="D14" s="70">
        <f>F14-[1]Austria!D14</f>
        <v>0</v>
      </c>
      <c r="E14" s="168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31">
        <v>42.56</v>
      </c>
      <c r="M14" s="70">
        <v>2704.8</v>
      </c>
      <c r="N14" s="70">
        <v>3288.32</v>
      </c>
      <c r="O14" s="70">
        <v>3573</v>
      </c>
      <c r="P14" s="70">
        <v>2921</v>
      </c>
      <c r="Q14" s="70"/>
      <c r="R14" s="70">
        <v>4541</v>
      </c>
      <c r="S14" s="70">
        <v>5643</v>
      </c>
      <c r="T14" s="70">
        <v>4002</v>
      </c>
      <c r="U14" s="31"/>
      <c r="V14" s="32"/>
    </row>
    <row r="15" spans="1:22">
      <c r="A15" s="50" t="s">
        <v>101</v>
      </c>
      <c r="B15" s="51">
        <f t="shared" si="0"/>
        <v>0.18012208589831769</v>
      </c>
      <c r="C15" s="132">
        <f>E15-[1]Austria!C15</f>
        <v>-428.59421780654702</v>
      </c>
      <c r="D15" s="70">
        <f>F15-[1]Austria!D15</f>
        <v>-528.2357822146555</v>
      </c>
      <c r="E15" s="168">
        <v>1747.7946710823421</v>
      </c>
      <c r="F15" s="70">
        <v>1481.0286935286936</v>
      </c>
      <c r="G15" s="70">
        <v>1652.3046398046397</v>
      </c>
      <c r="H15" s="70">
        <v>1273.45</v>
      </c>
      <c r="I15" s="70">
        <v>805</v>
      </c>
      <c r="J15" s="70">
        <v>804</v>
      </c>
      <c r="K15" s="70">
        <v>100</v>
      </c>
      <c r="L15" s="31">
        <v>15.68</v>
      </c>
      <c r="M15" s="70">
        <v>514.96</v>
      </c>
      <c r="N15" s="70">
        <v>117.6</v>
      </c>
      <c r="O15" s="70">
        <v>446</v>
      </c>
      <c r="P15" s="70">
        <v>37</v>
      </c>
      <c r="Q15" s="70"/>
      <c r="R15" s="70">
        <v>131</v>
      </c>
      <c r="S15" s="70">
        <v>317</v>
      </c>
      <c r="T15" s="70">
        <v>79</v>
      </c>
      <c r="U15" s="31"/>
      <c r="V15" s="32"/>
    </row>
    <row r="16" spans="1:22">
      <c r="A16" s="50" t="s">
        <v>12</v>
      </c>
      <c r="B16" s="51">
        <f t="shared" si="0"/>
        <v>-0.20740830024625645</v>
      </c>
      <c r="C16" s="132">
        <f>E16-[1]Austria!C16</f>
        <v>-247.50443240169261</v>
      </c>
      <c r="D16" s="70">
        <f>F16-[1]Austria!D16</f>
        <v>-292.78616141292241</v>
      </c>
      <c r="E16" s="168">
        <v>5239.4400120427526</v>
      </c>
      <c r="F16" s="70">
        <v>6610.5158730158728</v>
      </c>
      <c r="G16" s="70">
        <v>4510.363247863248</v>
      </c>
      <c r="H16" s="70">
        <v>747.65</v>
      </c>
      <c r="I16" s="70">
        <v>939</v>
      </c>
      <c r="J16" s="70">
        <v>1893</v>
      </c>
      <c r="K16" s="70">
        <v>685</v>
      </c>
      <c r="L16" s="31">
        <v>533.76</v>
      </c>
      <c r="M16" s="70">
        <v>1761.68</v>
      </c>
      <c r="N16" s="70">
        <v>2238.7199999999998</v>
      </c>
      <c r="O16" s="70">
        <v>2079</v>
      </c>
      <c r="P16" s="70">
        <v>1975</v>
      </c>
      <c r="Q16" s="70"/>
      <c r="R16" s="70">
        <v>2683</v>
      </c>
      <c r="S16" s="70">
        <v>2845</v>
      </c>
      <c r="T16" s="70">
        <v>2283</v>
      </c>
      <c r="U16" s="31"/>
      <c r="V16" s="32"/>
    </row>
    <row r="17" spans="1:23">
      <c r="A17" s="50" t="s">
        <v>97</v>
      </c>
      <c r="B17" s="51">
        <f t="shared" si="0"/>
        <v>-0.51312191977644794</v>
      </c>
      <c r="C17" s="132">
        <f>E17-[1]Austria!C17</f>
        <v>-197.26964055731196</v>
      </c>
      <c r="D17" s="70">
        <f>F17-[1]Austria!D17</f>
        <v>-131.54701714560906</v>
      </c>
      <c r="E17" s="168">
        <v>2104.9525816649102</v>
      </c>
      <c r="F17" s="70">
        <v>4323.366910866911</v>
      </c>
      <c r="G17" s="70">
        <v>2173.4279609279606</v>
      </c>
      <c r="H17" s="70">
        <v>1722.1</v>
      </c>
      <c r="I17" s="70">
        <v>2143</v>
      </c>
      <c r="J17" s="70">
        <v>1831</v>
      </c>
      <c r="K17" s="70">
        <v>541</v>
      </c>
      <c r="L17" s="31"/>
      <c r="M17" s="70"/>
      <c r="N17" s="70"/>
      <c r="O17" s="70"/>
      <c r="P17" s="70"/>
      <c r="Q17" s="70"/>
      <c r="R17" s="70"/>
      <c r="S17" s="70"/>
      <c r="T17" s="70"/>
      <c r="U17" s="31"/>
      <c r="V17" s="32"/>
    </row>
    <row r="18" spans="1:23">
      <c r="A18" s="50" t="s">
        <v>102</v>
      </c>
      <c r="B18" s="51" t="str">
        <f t="shared" si="0"/>
        <v/>
      </c>
      <c r="C18" s="132">
        <f>E18-[1]Austria!C18</f>
        <v>0</v>
      </c>
      <c r="D18" s="70">
        <f>F18-[1]Austria!D18</f>
        <v>0</v>
      </c>
      <c r="E18" s="168"/>
      <c r="F18" s="70"/>
      <c r="G18" s="70"/>
      <c r="H18" s="70">
        <v>62.4</v>
      </c>
      <c r="I18" s="70">
        <v>14</v>
      </c>
      <c r="J18" s="70">
        <v>68</v>
      </c>
      <c r="K18" s="70">
        <v>10</v>
      </c>
      <c r="L18" s="31">
        <v>0</v>
      </c>
      <c r="M18" s="31">
        <v>59.36</v>
      </c>
      <c r="N18" s="31">
        <v>36.96</v>
      </c>
      <c r="O18" s="31">
        <v>57</v>
      </c>
      <c r="P18" s="31">
        <v>21</v>
      </c>
      <c r="Q18" s="31"/>
      <c r="R18" s="31">
        <v>112</v>
      </c>
      <c r="S18" s="31">
        <v>253</v>
      </c>
      <c r="T18" s="31">
        <v>194</v>
      </c>
      <c r="U18" s="31"/>
      <c r="V18" s="32"/>
    </row>
    <row r="19" spans="1:23">
      <c r="A19" s="50" t="s">
        <v>103</v>
      </c>
      <c r="B19" s="51">
        <f t="shared" si="0"/>
        <v>-0.55044434158567457</v>
      </c>
      <c r="C19" s="132">
        <f>E19-[1]Austria!C19</f>
        <v>-95.258751902587392</v>
      </c>
      <c r="D19" s="70">
        <f>F19-[1]Austria!D19</f>
        <v>-280.54949354245127</v>
      </c>
      <c r="E19" s="168">
        <v>1698.6301369863013</v>
      </c>
      <c r="F19" s="70">
        <v>3778.464590964591</v>
      </c>
      <c r="G19" s="70">
        <v>2146.5048840048839</v>
      </c>
      <c r="H19" s="70">
        <v>1030.45</v>
      </c>
      <c r="I19" s="70">
        <v>2300</v>
      </c>
      <c r="J19" s="70">
        <v>5513</v>
      </c>
      <c r="K19" s="70">
        <v>918</v>
      </c>
      <c r="L19" s="31">
        <v>768.52</v>
      </c>
      <c r="M19" s="31">
        <v>4714</v>
      </c>
      <c r="N19" s="31">
        <v>4102.28</v>
      </c>
      <c r="O19" s="31">
        <v>4129</v>
      </c>
      <c r="P19" s="31">
        <v>1573</v>
      </c>
      <c r="Q19" s="31"/>
      <c r="R19" s="31">
        <v>3130</v>
      </c>
      <c r="S19" s="31">
        <v>4038</v>
      </c>
      <c r="T19" s="31">
        <v>297</v>
      </c>
      <c r="U19" s="31"/>
      <c r="V19" s="32"/>
    </row>
    <row r="20" spans="1:23" ht="13.8" thickBot="1">
      <c r="A20" s="50" t="s">
        <v>58</v>
      </c>
      <c r="B20" s="51">
        <f t="shared" si="0"/>
        <v>-3.1654869099176253E-2</v>
      </c>
      <c r="C20" s="132">
        <f>E20-[1]Austria!C20</f>
        <v>-1144.3215498352474</v>
      </c>
      <c r="D20" s="70">
        <f>F20-[1]Austria!D20</f>
        <v>-758.27193932827686</v>
      </c>
      <c r="E20" s="168">
        <v>7368.7340057203073</v>
      </c>
      <c r="F20" s="70">
        <v>7609.6153846153848</v>
      </c>
      <c r="G20" s="70">
        <v>4215.2625152625151</v>
      </c>
      <c r="H20" s="70">
        <v>2837.6499999999996</v>
      </c>
      <c r="I20" s="70">
        <v>1877</v>
      </c>
      <c r="J20" s="70">
        <v>3485</v>
      </c>
      <c r="K20" s="70">
        <v>273</v>
      </c>
      <c r="L20" s="31">
        <v>370.08</v>
      </c>
      <c r="M20" s="70">
        <v>397.24</v>
      </c>
      <c r="N20" s="70">
        <v>472.04</v>
      </c>
      <c r="O20" s="70">
        <v>1913</v>
      </c>
      <c r="P20" s="70">
        <v>569</v>
      </c>
      <c r="Q20" s="70"/>
      <c r="R20" s="70">
        <v>603</v>
      </c>
      <c r="S20" s="70">
        <v>994</v>
      </c>
      <c r="T20" s="70">
        <v>2373</v>
      </c>
      <c r="U20" s="31">
        <v>12651</v>
      </c>
      <c r="V20" s="32">
        <v>11437</v>
      </c>
    </row>
    <row r="21" spans="1:23" ht="13.8" thickBot="1">
      <c r="A21" s="144" t="s">
        <v>22</v>
      </c>
      <c r="B21" s="38">
        <f t="shared" si="0"/>
        <v>-0.23717041517971948</v>
      </c>
      <c r="C21" s="133">
        <f>E21-[1]Austria!C21</f>
        <v>-7405.9045026510576</v>
      </c>
      <c r="D21" s="39">
        <f>F21-[1]Austria!D21</f>
        <v>-9091.6136133037508</v>
      </c>
      <c r="E21" s="163">
        <f>SUM(E2:E20)</f>
        <v>92742.706608460037</v>
      </c>
      <c r="F21" s="39">
        <f>SUM(F2:F20)</f>
        <v>121577.22832722834</v>
      </c>
      <c r="G21" s="39">
        <f>SUM(G2:G20)</f>
        <v>97808.134920634926</v>
      </c>
      <c r="H21" s="39">
        <f>SUM(H2:H20)</f>
        <v>93104.699999999983</v>
      </c>
      <c r="I21" s="39">
        <f>SUM(I2:I20)</f>
        <v>97417</v>
      </c>
      <c r="J21" s="39">
        <v>115430</v>
      </c>
      <c r="K21" s="39">
        <v>63153</v>
      </c>
      <c r="L21" s="39">
        <f>SUM(L2:L20)</f>
        <v>31152.880000000005</v>
      </c>
      <c r="M21" s="39">
        <f>SUM(M2:M20)</f>
        <v>131431.32</v>
      </c>
      <c r="N21" s="39">
        <f>SUM(N2:N20)</f>
        <v>134739.32</v>
      </c>
      <c r="O21" s="39">
        <f>SUM(O2:O20)</f>
        <v>122136</v>
      </c>
      <c r="P21" s="39">
        <f t="shared" ref="P21:V21" si="1">SUM(P2:P20)</f>
        <v>116061</v>
      </c>
      <c r="Q21" s="39"/>
      <c r="R21" s="39">
        <f t="shared" si="1"/>
        <v>144302</v>
      </c>
      <c r="S21" s="39">
        <f t="shared" si="1"/>
        <v>144830</v>
      </c>
      <c r="T21" s="39">
        <f t="shared" si="1"/>
        <v>128461</v>
      </c>
      <c r="U21" s="39">
        <f t="shared" si="1"/>
        <v>131666</v>
      </c>
      <c r="V21" s="40">
        <f t="shared" si="1"/>
        <v>115283</v>
      </c>
    </row>
    <row r="22" spans="1:23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W22" s="31"/>
    </row>
    <row r="23" spans="1:23">
      <c r="M23" s="31"/>
      <c r="N23" s="31"/>
      <c r="O23" s="31"/>
      <c r="P23" s="31"/>
      <c r="Q23" s="31"/>
      <c r="R23" s="31"/>
      <c r="S23" s="31"/>
      <c r="T23" s="31"/>
      <c r="V23" s="31"/>
    </row>
    <row r="27" spans="1:23" ht="17.399999999999999">
      <c r="U27" s="75"/>
      <c r="V27" s="31"/>
      <c r="W27" s="31"/>
    </row>
    <row r="28" spans="1:23" ht="17.399999999999999">
      <c r="U28" s="75"/>
      <c r="V28" s="31"/>
      <c r="W28" s="31"/>
    </row>
    <row r="29" spans="1:23" ht="17.399999999999999">
      <c r="U29" s="75"/>
      <c r="V29" s="31"/>
      <c r="W29" s="31"/>
    </row>
    <row r="30" spans="1:23" ht="17.399999999999999">
      <c r="U30" s="75"/>
      <c r="V30" s="31"/>
      <c r="W30" s="31"/>
    </row>
    <row r="31" spans="1:23" ht="17.399999999999999">
      <c r="U31" s="75"/>
      <c r="V31" s="31"/>
      <c r="W31" s="31"/>
    </row>
    <row r="32" spans="1:23" ht="17.399999999999999">
      <c r="U32" s="75"/>
      <c r="V32" s="31"/>
      <c r="W32" s="31"/>
    </row>
    <row r="33" spans="21:23" ht="17.399999999999999">
      <c r="U33" s="75"/>
      <c r="V33" s="31"/>
      <c r="W33" s="31"/>
    </row>
    <row r="34" spans="21:23" ht="17.399999999999999">
      <c r="U34" s="75"/>
      <c r="V34" s="31"/>
      <c r="W34" s="31"/>
    </row>
    <row r="35" spans="21:23" ht="17.399999999999999">
      <c r="U35" s="75"/>
      <c r="V35" s="31"/>
      <c r="W35" s="31"/>
    </row>
    <row r="36" spans="21:23" ht="17.399999999999999">
      <c r="U36" s="75"/>
      <c r="V36" s="31"/>
      <c r="W36" s="31"/>
    </row>
    <row r="37" spans="21:23" ht="17.399999999999999">
      <c r="U37" s="76"/>
      <c r="V37" s="31"/>
      <c r="W37" s="31"/>
    </row>
    <row r="38" spans="21:23" ht="18">
      <c r="U38" s="77"/>
      <c r="V38" s="66"/>
      <c r="W38" s="66"/>
    </row>
  </sheetData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50" t="s">
        <v>3</v>
      </c>
      <c r="B2" s="51">
        <f t="shared" ref="B2:B10" si="0">IFERROR((E2/F2-1), "")</f>
        <v>-0.17594253695193351</v>
      </c>
      <c r="C2" s="132">
        <f>E2-[1]Belgium!C2</f>
        <v>-1006.6774328904876</v>
      </c>
      <c r="D2" s="31">
        <f>F2-[1]Belgium!D2</f>
        <v>-1158.8748340606244</v>
      </c>
      <c r="E2" s="164">
        <v>2851.2388221463102</v>
      </c>
      <c r="F2" s="31">
        <v>3460</v>
      </c>
      <c r="G2" s="31">
        <v>4946</v>
      </c>
      <c r="H2" s="31">
        <v>3849</v>
      </c>
      <c r="I2" s="31">
        <v>1218</v>
      </c>
      <c r="J2" s="31">
        <v>6339</v>
      </c>
      <c r="K2" s="31">
        <v>47</v>
      </c>
      <c r="L2" s="31">
        <v>2499</v>
      </c>
      <c r="M2" s="31">
        <v>6609</v>
      </c>
      <c r="N2" s="31">
        <v>8372</v>
      </c>
      <c r="O2" s="31">
        <v>3323</v>
      </c>
      <c r="P2" s="31">
        <v>2360</v>
      </c>
      <c r="Q2" s="31">
        <v>3780</v>
      </c>
      <c r="R2" s="31">
        <v>800</v>
      </c>
      <c r="S2" s="31">
        <v>3500</v>
      </c>
      <c r="T2" s="31">
        <v>5900</v>
      </c>
      <c r="U2" s="31">
        <v>6100</v>
      </c>
      <c r="V2" s="32">
        <v>6900</v>
      </c>
    </row>
    <row r="3" spans="1:22">
      <c r="A3" s="50" t="s">
        <v>163</v>
      </c>
      <c r="B3" s="51" t="str">
        <f t="shared" si="0"/>
        <v/>
      </c>
      <c r="C3" s="132">
        <f>E3-[1]Belgium!C3</f>
        <v>0</v>
      </c>
      <c r="D3" s="31">
        <f>F3-[1]Belgium!D3</f>
        <v>0</v>
      </c>
      <c r="E3" s="164"/>
      <c r="F3" s="31">
        <v>0</v>
      </c>
      <c r="G3" s="31"/>
      <c r="H3" s="31"/>
      <c r="I3" s="31"/>
      <c r="J3" s="31"/>
      <c r="K3" s="31"/>
      <c r="L3" s="31"/>
      <c r="M3" s="31"/>
      <c r="N3" s="31"/>
      <c r="O3" s="31">
        <v>389</v>
      </c>
      <c r="P3" s="31">
        <v>144</v>
      </c>
      <c r="Q3" s="31">
        <v>80</v>
      </c>
      <c r="R3" s="31">
        <v>0</v>
      </c>
      <c r="S3" s="31">
        <v>0</v>
      </c>
      <c r="T3" s="31">
        <v>500</v>
      </c>
      <c r="U3" s="31">
        <v>900</v>
      </c>
      <c r="V3" s="32">
        <v>850</v>
      </c>
    </row>
    <row r="4" spans="1:22">
      <c r="A4" s="50" t="s">
        <v>1</v>
      </c>
      <c r="B4" s="51">
        <f t="shared" si="0"/>
        <v>2.3472033277840971</v>
      </c>
      <c r="C4" s="132">
        <f>E4-[1]Belgium!C4</f>
        <v>-376.2682291282631</v>
      </c>
      <c r="D4" s="31">
        <f>F4-[1]Belgium!D4</f>
        <v>-457.51540608263997</v>
      </c>
      <c r="E4" s="164">
        <v>2420.974674374168</v>
      </c>
      <c r="F4" s="31">
        <v>723.28282368698899</v>
      </c>
      <c r="G4" s="31">
        <v>1247</v>
      </c>
      <c r="H4" s="31">
        <v>613</v>
      </c>
      <c r="I4" s="31">
        <v>925</v>
      </c>
      <c r="J4" s="31">
        <v>3057</v>
      </c>
      <c r="K4" s="31">
        <v>400</v>
      </c>
      <c r="L4" s="31">
        <v>611</v>
      </c>
      <c r="M4" s="31">
        <v>2384</v>
      </c>
      <c r="N4" s="31">
        <v>3137</v>
      </c>
      <c r="O4" s="31">
        <v>639</v>
      </c>
      <c r="P4" s="31">
        <v>1776</v>
      </c>
      <c r="Q4" s="31">
        <v>1700</v>
      </c>
      <c r="R4" s="31">
        <v>400</v>
      </c>
      <c r="S4" s="31">
        <v>1200</v>
      </c>
      <c r="T4" s="31">
        <v>300</v>
      </c>
      <c r="U4" s="31">
        <v>1600</v>
      </c>
      <c r="V4" s="32">
        <v>1500</v>
      </c>
    </row>
    <row r="5" spans="1:22">
      <c r="A5" s="50" t="s">
        <v>104</v>
      </c>
      <c r="B5" s="51" t="str">
        <f t="shared" si="0"/>
        <v/>
      </c>
      <c r="C5" s="132">
        <f>E5-[1]Belgium!C5</f>
        <v>0</v>
      </c>
      <c r="D5" s="31">
        <f>F5-[1]Belgium!D5</f>
        <v>0</v>
      </c>
      <c r="E5" s="164"/>
      <c r="F5" s="31">
        <v>0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>
        <v>700</v>
      </c>
    </row>
    <row r="6" spans="1:22">
      <c r="A6" s="50" t="s">
        <v>2</v>
      </c>
      <c r="B6" s="51">
        <f t="shared" si="0"/>
        <v>0.4630046641533152</v>
      </c>
      <c r="C6" s="132">
        <f>E6-[1]Belgium!C6</f>
        <v>-2113.6443811474255</v>
      </c>
      <c r="D6" s="31">
        <f>F6-[1]Belgium!D6</f>
        <v>-1660.8846603348065</v>
      </c>
      <c r="E6" s="164">
        <v>15533.227382462183</v>
      </c>
      <c r="F6" s="31">
        <v>10617.346453541028</v>
      </c>
      <c r="G6" s="31">
        <v>14067</v>
      </c>
      <c r="H6" s="31">
        <v>10293</v>
      </c>
      <c r="I6" s="31">
        <v>23842</v>
      </c>
      <c r="J6" s="31">
        <v>20435</v>
      </c>
      <c r="K6" s="31">
        <v>11996</v>
      </c>
      <c r="L6" s="31">
        <v>16360</v>
      </c>
      <c r="M6" s="31">
        <v>23358</v>
      </c>
      <c r="N6" s="31">
        <v>20228</v>
      </c>
      <c r="O6" s="31">
        <v>22785</v>
      </c>
      <c r="P6" s="31">
        <v>18240</v>
      </c>
      <c r="Q6" s="31">
        <v>14880</v>
      </c>
      <c r="R6" s="31">
        <v>14100</v>
      </c>
      <c r="S6" s="31">
        <v>23200</v>
      </c>
      <c r="T6" s="31">
        <v>16700</v>
      </c>
      <c r="U6" s="31">
        <v>18100</v>
      </c>
      <c r="V6" s="32">
        <v>17700</v>
      </c>
    </row>
    <row r="7" spans="1:22">
      <c r="A7" s="71" t="s">
        <v>26</v>
      </c>
      <c r="B7" s="51">
        <f t="shared" si="0"/>
        <v>2.0355495298969073E-2</v>
      </c>
      <c r="C7" s="132">
        <f>E7-[1]Belgium!C7</f>
        <v>-11616.229487071716</v>
      </c>
      <c r="D7" s="31">
        <f>F7-[1]Belgium!D7</f>
        <v>-9746.8862838558925</v>
      </c>
      <c r="E7" s="164">
        <v>60324.758954420118</v>
      </c>
      <c r="F7" s="31">
        <v>59121.315298786802</v>
      </c>
      <c r="G7" s="31">
        <v>96018</v>
      </c>
      <c r="H7" s="31">
        <v>39119</v>
      </c>
      <c r="I7" s="31">
        <v>85350</v>
      </c>
      <c r="J7" s="31">
        <v>86480</v>
      </c>
      <c r="K7" s="31">
        <v>9812</v>
      </c>
      <c r="L7" s="31">
        <v>66640</v>
      </c>
      <c r="M7" s="70">
        <v>95567</v>
      </c>
      <c r="N7" s="70">
        <v>100024</v>
      </c>
      <c r="O7" s="70">
        <v>69685</v>
      </c>
      <c r="P7" s="70">
        <v>57762</v>
      </c>
      <c r="Q7" s="70">
        <v>50600</v>
      </c>
      <c r="R7" s="70">
        <v>61200</v>
      </c>
      <c r="S7" s="70">
        <v>94000</v>
      </c>
      <c r="T7" s="70">
        <v>113000</v>
      </c>
      <c r="U7" s="31">
        <v>94900</v>
      </c>
      <c r="V7" s="32">
        <v>124400</v>
      </c>
    </row>
    <row r="8" spans="1:22">
      <c r="A8" s="50" t="s">
        <v>25</v>
      </c>
      <c r="B8" s="51">
        <f t="shared" si="0"/>
        <v>1.4014900361446703E-2</v>
      </c>
      <c r="C8" s="132">
        <f>E8-[1]Belgium!C8</f>
        <v>-3507.2071210590766</v>
      </c>
      <c r="D8" s="31">
        <f>F8-[1]Belgium!D8</f>
        <v>-4808.7313349851174</v>
      </c>
      <c r="E8" s="164">
        <v>19951.701304787199</v>
      </c>
      <c r="F8" s="31">
        <v>19675.944897530986</v>
      </c>
      <c r="G8" s="31">
        <v>26805</v>
      </c>
      <c r="H8" s="31">
        <v>15190</v>
      </c>
      <c r="I8" s="31">
        <v>38781</v>
      </c>
      <c r="J8" s="31">
        <v>44450</v>
      </c>
      <c r="K8" s="31">
        <v>5743</v>
      </c>
      <c r="L8" s="31">
        <v>38758</v>
      </c>
      <c r="M8" s="70">
        <v>46155</v>
      </c>
      <c r="N8" s="70">
        <v>55977</v>
      </c>
      <c r="O8" s="70">
        <v>35151</v>
      </c>
      <c r="P8" s="70">
        <v>37369</v>
      </c>
      <c r="Q8" s="70">
        <v>37000</v>
      </c>
      <c r="R8" s="70">
        <v>30200</v>
      </c>
      <c r="S8" s="70">
        <v>36000</v>
      </c>
      <c r="T8" s="70">
        <v>41600</v>
      </c>
      <c r="U8" s="31">
        <v>38500</v>
      </c>
      <c r="V8" s="32">
        <v>37100</v>
      </c>
    </row>
    <row r="9" spans="1:22" ht="13.8" thickBot="1">
      <c r="A9" s="52" t="s">
        <v>5</v>
      </c>
      <c r="B9" s="51">
        <f t="shared" si="0"/>
        <v>0.10057042226561008</v>
      </c>
      <c r="C9" s="134">
        <f>E9-[1]Belgium!C9</f>
        <v>-5637.8467201694875</v>
      </c>
      <c r="D9" s="35">
        <f>F9-[1]Belgium!D9</f>
        <v>-5580</v>
      </c>
      <c r="E9" s="166">
        <v>28748</v>
      </c>
      <c r="F9" s="35">
        <v>26121</v>
      </c>
      <c r="G9" s="35">
        <v>25112</v>
      </c>
      <c r="H9" s="35">
        <v>22669</v>
      </c>
      <c r="I9" s="35">
        <v>21201</v>
      </c>
      <c r="J9" s="35">
        <v>26951</v>
      </c>
      <c r="K9" s="35">
        <v>5763</v>
      </c>
      <c r="L9" s="35">
        <v>10294</v>
      </c>
      <c r="M9" s="73">
        <v>25469</v>
      </c>
      <c r="N9" s="73">
        <v>19879</v>
      </c>
      <c r="O9" s="73">
        <v>17538</v>
      </c>
      <c r="P9" s="73">
        <v>13614</v>
      </c>
      <c r="Q9" s="73">
        <v>30000</v>
      </c>
      <c r="R9" s="73">
        <v>15800</v>
      </c>
      <c r="S9" s="73">
        <v>12100</v>
      </c>
      <c r="T9" s="73">
        <v>29300</v>
      </c>
      <c r="U9" s="35">
        <v>22500</v>
      </c>
      <c r="V9" s="36">
        <v>3650</v>
      </c>
    </row>
    <row r="10" spans="1:22" ht="13.8" thickBot="1">
      <c r="A10" s="74" t="s">
        <v>22</v>
      </c>
      <c r="B10" s="38">
        <f t="shared" si="0"/>
        <v>8.4456276775591199E-2</v>
      </c>
      <c r="C10" s="135">
        <f>E10-[1]Belgium!C10</f>
        <v>-24257.873371466427</v>
      </c>
      <c r="D10" s="55">
        <f>F10-[1]Belgium!D10</f>
        <v>-23412.892519319081</v>
      </c>
      <c r="E10" s="167">
        <f>SUM(E2:E9)</f>
        <v>129829.90113818999</v>
      </c>
      <c r="F10" s="55">
        <f>SUM(F2:F9)</f>
        <v>119718.8894735458</v>
      </c>
      <c r="G10" s="55">
        <f>SUM(G2:G9)</f>
        <v>168195</v>
      </c>
      <c r="H10" s="55">
        <f>SUM(H2:H9)</f>
        <v>91733</v>
      </c>
      <c r="I10" s="55">
        <f>SUM(I2:I9)</f>
        <v>171317</v>
      </c>
      <c r="J10" s="55">
        <v>187712</v>
      </c>
      <c r="K10" s="55">
        <v>33761</v>
      </c>
      <c r="L10" s="55">
        <f>SUM(L2:L9)</f>
        <v>135162</v>
      </c>
      <c r="M10" s="55">
        <f>SUM(M2:M9)</f>
        <v>199542</v>
      </c>
      <c r="N10" s="55">
        <f>SUM(N2:N9)</f>
        <v>207617</v>
      </c>
      <c r="O10" s="55">
        <f>SUM(O2:O9)</f>
        <v>149510</v>
      </c>
      <c r="P10" s="55">
        <f>SUM(P2:P9)</f>
        <v>131265</v>
      </c>
      <c r="Q10" s="55">
        <f t="shared" ref="Q10:V10" si="1">SUM(Q2:Q9)</f>
        <v>138040</v>
      </c>
      <c r="R10" s="55">
        <f t="shared" si="1"/>
        <v>122500</v>
      </c>
      <c r="S10" s="55">
        <f t="shared" si="1"/>
        <v>170000</v>
      </c>
      <c r="T10" s="55">
        <f t="shared" si="1"/>
        <v>207300</v>
      </c>
      <c r="U10" s="55">
        <f t="shared" si="1"/>
        <v>182600</v>
      </c>
      <c r="V10" s="56">
        <f t="shared" si="1"/>
        <v>192800</v>
      </c>
    </row>
    <row r="11" spans="1:22">
      <c r="A11" s="26" t="s">
        <v>105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22">
      <c r="A12" s="26" t="s">
        <v>162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22" ht="13.8" thickBot="1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22" ht="13.8" thickBot="1">
      <c r="A14" s="27" t="s">
        <v>24</v>
      </c>
      <c r="B14" s="12" t="s">
        <v>184</v>
      </c>
      <c r="C14" s="117" t="s">
        <v>185</v>
      </c>
      <c r="D14" s="42" t="s">
        <v>179</v>
      </c>
      <c r="E14" s="156">
        <v>45261</v>
      </c>
      <c r="F14" s="13">
        <v>44896</v>
      </c>
      <c r="G14" s="13">
        <v>44531</v>
      </c>
      <c r="H14" s="13">
        <v>44166</v>
      </c>
      <c r="I14" s="13">
        <v>43800</v>
      </c>
      <c r="J14" s="13">
        <v>43435</v>
      </c>
      <c r="K14" s="13">
        <v>43070</v>
      </c>
      <c r="L14" s="13">
        <v>42705</v>
      </c>
      <c r="M14" s="28">
        <f>M1</f>
        <v>42339</v>
      </c>
      <c r="N14" s="28">
        <f>N1</f>
        <v>41974</v>
      </c>
      <c r="O14" s="28">
        <v>41609</v>
      </c>
      <c r="P14" s="28">
        <v>41244</v>
      </c>
      <c r="Q14" s="28">
        <v>40878</v>
      </c>
      <c r="R14" s="28">
        <v>40513</v>
      </c>
      <c r="S14" s="28">
        <v>40148</v>
      </c>
      <c r="T14" s="28">
        <v>39783</v>
      </c>
      <c r="U14" s="28">
        <v>39417</v>
      </c>
      <c r="V14" s="44">
        <v>39052</v>
      </c>
    </row>
    <row r="15" spans="1:22">
      <c r="A15" s="50" t="s">
        <v>6</v>
      </c>
      <c r="B15" s="51">
        <f t="shared" ref="B15:B20" si="2">IFERROR((E15/F15-1), "")</f>
        <v>0.24676429775649278</v>
      </c>
      <c r="C15" s="132">
        <f>E15-[1]Belgium!C15</f>
        <v>-46501.747957555024</v>
      </c>
      <c r="D15" s="31">
        <f>F15-[1]Belgium!D15</f>
        <v>-40419.320919756137</v>
      </c>
      <c r="E15" s="164">
        <v>256752.00554718895</v>
      </c>
      <c r="F15" s="31">
        <v>205934.67908024386</v>
      </c>
      <c r="G15" s="31">
        <v>237934</v>
      </c>
      <c r="H15" s="31">
        <v>262524</v>
      </c>
      <c r="I15" s="31">
        <v>201868</v>
      </c>
      <c r="J15" s="31">
        <v>249675</v>
      </c>
      <c r="K15" s="31">
        <v>189864</v>
      </c>
      <c r="L15" s="48">
        <v>217140</v>
      </c>
      <c r="M15" s="31">
        <v>253418</v>
      </c>
      <c r="N15" s="31">
        <v>226928</v>
      </c>
      <c r="O15" s="31">
        <v>194785</v>
      </c>
      <c r="P15" s="31">
        <v>134224</v>
      </c>
      <c r="Q15" s="31">
        <v>172000</v>
      </c>
      <c r="R15" s="31">
        <v>138400</v>
      </c>
      <c r="S15" s="31">
        <v>132700</v>
      </c>
      <c r="T15" s="31">
        <v>66300</v>
      </c>
      <c r="U15" s="31">
        <v>119800</v>
      </c>
      <c r="V15" s="32">
        <v>128800</v>
      </c>
    </row>
    <row r="16" spans="1:22">
      <c r="A16" s="50" t="s">
        <v>106</v>
      </c>
      <c r="B16" s="51">
        <f t="shared" si="2"/>
        <v>8.28780787974297E-2</v>
      </c>
      <c r="C16" s="132">
        <f>E16-[1]Belgium!C16</f>
        <v>-2908.7472463087806</v>
      </c>
      <c r="D16" s="31">
        <f>F16-[1]Belgium!D16</f>
        <v>-1942.7874764417338</v>
      </c>
      <c r="E16" s="164">
        <v>4306.2527536912194</v>
      </c>
      <c r="F16" s="31">
        <v>3976.6736791582753</v>
      </c>
      <c r="G16" s="31">
        <v>5840</v>
      </c>
      <c r="H16" s="31">
        <v>8578</v>
      </c>
      <c r="I16" s="31">
        <v>4390</v>
      </c>
      <c r="J16" s="31">
        <v>9015</v>
      </c>
      <c r="K16" s="31">
        <v>1936</v>
      </c>
      <c r="L16" s="31">
        <v>6723</v>
      </c>
      <c r="M16" s="31">
        <v>13248</v>
      </c>
      <c r="N16" s="31">
        <v>12130</v>
      </c>
      <c r="O16" s="31">
        <v>10040</v>
      </c>
      <c r="P16" s="31">
        <v>1232</v>
      </c>
      <c r="Q16" s="31">
        <v>7000</v>
      </c>
      <c r="R16" s="31">
        <v>5100</v>
      </c>
      <c r="S16" s="31">
        <v>9400</v>
      </c>
      <c r="T16" s="31">
        <v>200</v>
      </c>
      <c r="U16" s="31">
        <v>5300</v>
      </c>
      <c r="V16" s="32">
        <v>5000</v>
      </c>
    </row>
    <row r="17" spans="1:23">
      <c r="A17" s="50" t="s">
        <v>159</v>
      </c>
      <c r="B17" s="51" t="str">
        <f t="shared" si="2"/>
        <v/>
      </c>
      <c r="C17" s="132">
        <f>E17-[1]Belgium!C17</f>
        <v>-428.86086177974403</v>
      </c>
      <c r="D17" s="31">
        <f>F17-[1]Belgium!D17</f>
        <v>-249</v>
      </c>
      <c r="E17" s="164">
        <v>52</v>
      </c>
      <c r="F17" s="31">
        <v>0</v>
      </c>
      <c r="G17" s="31">
        <v>0</v>
      </c>
      <c r="H17" s="31">
        <v>492</v>
      </c>
      <c r="I17" s="31">
        <v>773</v>
      </c>
      <c r="J17" s="31">
        <v>231</v>
      </c>
      <c r="K17" s="31">
        <v>300</v>
      </c>
      <c r="L17" s="31">
        <v>734</v>
      </c>
      <c r="M17" s="31">
        <v>226</v>
      </c>
      <c r="N17" s="31">
        <v>38</v>
      </c>
      <c r="O17" s="31">
        <v>1202</v>
      </c>
      <c r="P17" s="31">
        <v>1441</v>
      </c>
      <c r="Q17" s="31"/>
      <c r="R17" s="31"/>
      <c r="S17" s="31"/>
      <c r="T17" s="31"/>
      <c r="U17" s="31"/>
      <c r="V17" s="32"/>
    </row>
    <row r="18" spans="1:23">
      <c r="A18" s="92" t="s">
        <v>176</v>
      </c>
      <c r="B18" s="51">
        <f t="shared" si="2"/>
        <v>-0.61380228032599182</v>
      </c>
      <c r="C18" s="132">
        <f>E18-[1]Belgium!C18</f>
        <v>-1935.8763480205705</v>
      </c>
      <c r="D18" s="31">
        <f>F18-[1]Belgium!D18</f>
        <v>-549.38223190634517</v>
      </c>
      <c r="E18" s="164">
        <v>1257.1236519794295</v>
      </c>
      <c r="F18" s="31">
        <v>3255.1296601144491</v>
      </c>
      <c r="G18" s="31">
        <v>2464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</row>
    <row r="19" spans="1:23" ht="13.8" thickBot="1">
      <c r="A19" s="50" t="s">
        <v>5</v>
      </c>
      <c r="B19" s="51">
        <f t="shared" si="2"/>
        <v>-0.49277753401548641</v>
      </c>
      <c r="C19" s="132">
        <f>E19-[1]Belgium!C19</f>
        <v>-3363.0162078870253</v>
      </c>
      <c r="D19" s="31">
        <f>F19-[1]Belgium!D19</f>
        <v>-314.80006214077002</v>
      </c>
      <c r="E19" s="164">
        <v>3996</v>
      </c>
      <c r="F19" s="31">
        <v>7878.19993785923</v>
      </c>
      <c r="G19" s="31">
        <v>3211</v>
      </c>
      <c r="H19" s="31">
        <v>7493</v>
      </c>
      <c r="I19" s="31">
        <v>6644</v>
      </c>
      <c r="J19" s="31">
        <v>7969</v>
      </c>
      <c r="K19" s="31">
        <v>2785</v>
      </c>
      <c r="L19" s="31">
        <v>3385</v>
      </c>
      <c r="M19" s="31">
        <v>3215</v>
      </c>
      <c r="N19" s="31">
        <v>5874</v>
      </c>
      <c r="O19" s="31">
        <v>3874</v>
      </c>
      <c r="P19" s="31">
        <v>242</v>
      </c>
      <c r="Q19" s="31">
        <v>980</v>
      </c>
      <c r="R19" s="31">
        <v>800</v>
      </c>
      <c r="S19" s="31">
        <v>1000</v>
      </c>
      <c r="T19" s="31">
        <v>800</v>
      </c>
      <c r="U19" s="31">
        <v>1400</v>
      </c>
      <c r="V19" s="32">
        <v>3600</v>
      </c>
    </row>
    <row r="20" spans="1:23" ht="13.8" thickBot="1">
      <c r="A20" s="27" t="s">
        <v>22</v>
      </c>
      <c r="B20" s="38">
        <f t="shared" si="2"/>
        <v>0.20502053753192939</v>
      </c>
      <c r="C20" s="133">
        <f>E20-[1]Belgium!C20</f>
        <v>-55138.248621551204</v>
      </c>
      <c r="D20" s="39">
        <f>F20-[1]Belgium!D20</f>
        <v>-43475.29069024499</v>
      </c>
      <c r="E20" s="163">
        <f>SUM(E15:E19)</f>
        <v>266363.38195285958</v>
      </c>
      <c r="F20" s="39">
        <f>SUM(F15:F19)</f>
        <v>221044.6823573758</v>
      </c>
      <c r="G20" s="39">
        <f>SUM(G15:G19)</f>
        <v>249449</v>
      </c>
      <c r="H20" s="39">
        <f>SUM(H15:H19)</f>
        <v>279087</v>
      </c>
      <c r="I20" s="39">
        <f>SUM(I15:I19)</f>
        <v>213675</v>
      </c>
      <c r="J20" s="39">
        <v>266890</v>
      </c>
      <c r="K20" s="39">
        <v>194885</v>
      </c>
      <c r="L20" s="39">
        <f>SUM(L15:L19)</f>
        <v>227982</v>
      </c>
      <c r="M20" s="39">
        <f>SUM(M15:M19)</f>
        <v>270107</v>
      </c>
      <c r="N20" s="39">
        <f>SUM(N15:N19)</f>
        <v>244970</v>
      </c>
      <c r="O20" s="39">
        <f>SUM(O15:O19)</f>
        <v>209901</v>
      </c>
      <c r="P20" s="39">
        <f>SUM(P15:P19)</f>
        <v>137139</v>
      </c>
      <c r="Q20" s="39">
        <f t="shared" ref="Q20:V20" si="3">SUM(Q15:Q19)</f>
        <v>179980</v>
      </c>
      <c r="R20" s="39">
        <f t="shared" si="3"/>
        <v>144300</v>
      </c>
      <c r="S20" s="39">
        <f t="shared" si="3"/>
        <v>143100</v>
      </c>
      <c r="T20" s="39">
        <f t="shared" si="3"/>
        <v>67300</v>
      </c>
      <c r="U20" s="39">
        <f t="shared" si="3"/>
        <v>126500</v>
      </c>
      <c r="V20" s="40">
        <f t="shared" si="3"/>
        <v>137400</v>
      </c>
    </row>
    <row r="21" spans="1:23">
      <c r="A21" t="s">
        <v>177</v>
      </c>
    </row>
    <row r="22" spans="1:23">
      <c r="A22" s="3" t="s">
        <v>178</v>
      </c>
    </row>
    <row r="27" spans="1:23" ht="17.399999999999999">
      <c r="U27" s="75"/>
      <c r="V27" s="31"/>
      <c r="W27" s="31"/>
    </row>
    <row r="28" spans="1:23" ht="17.399999999999999">
      <c r="U28" s="75"/>
      <c r="V28" s="31"/>
      <c r="W28" s="31"/>
    </row>
    <row r="29" spans="1:23" ht="17.399999999999999">
      <c r="U29" s="75"/>
      <c r="V29" s="31"/>
      <c r="W29" s="31"/>
    </row>
    <row r="30" spans="1:23" ht="17.399999999999999">
      <c r="U30" s="75"/>
      <c r="V30" s="31"/>
      <c r="W30" s="31"/>
    </row>
    <row r="31" spans="1:23" ht="17.399999999999999">
      <c r="U31" s="75"/>
      <c r="V31" s="31"/>
      <c r="W31" s="31"/>
    </row>
    <row r="32" spans="1:23" ht="17.399999999999999">
      <c r="U32" s="75"/>
      <c r="V32" s="31"/>
      <c r="W32" s="31"/>
    </row>
    <row r="33" spans="21:23" ht="17.399999999999999">
      <c r="U33" s="75"/>
      <c r="V33" s="31"/>
      <c r="W33" s="31"/>
    </row>
    <row r="34" spans="21:23" ht="17.399999999999999">
      <c r="U34" s="75"/>
      <c r="V34" s="31"/>
      <c r="W34" s="31"/>
    </row>
    <row r="35" spans="21:23" ht="17.399999999999999">
      <c r="U35" s="75"/>
      <c r="V35" s="31"/>
      <c r="W35" s="31"/>
    </row>
    <row r="36" spans="21:23" ht="17.399999999999999">
      <c r="U36" s="75"/>
      <c r="V36" s="31"/>
      <c r="W36" s="31"/>
    </row>
    <row r="37" spans="21:23" ht="17.399999999999999">
      <c r="U37" s="76"/>
      <c r="V37" s="31"/>
      <c r="W37" s="31"/>
    </row>
    <row r="38" spans="21:23" ht="18">
      <c r="U38" s="77"/>
      <c r="V38" s="66"/>
      <c r="W38" s="66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1"/>
  <sheetViews>
    <sheetView workbookViewId="0"/>
  </sheetViews>
  <sheetFormatPr defaultColWidth="9.109375" defaultRowHeight="13.2"/>
  <cols>
    <col min="1" max="1" width="29.33203125" style="26" customWidth="1"/>
    <col min="2" max="2" width="10.6640625" style="26" customWidth="1"/>
    <col min="3" max="3" width="11.44140625" style="26" bestFit="1" customWidth="1"/>
    <col min="4" max="11" width="10.6640625" style="26" customWidth="1"/>
    <col min="12" max="22" width="10.109375" style="26" bestFit="1" customWidth="1"/>
    <col min="23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2">
      <c r="A2" s="29" t="s">
        <v>10</v>
      </c>
      <c r="B2" s="93">
        <f t="shared" ref="B2:B12" si="0">IFERROR((E2/F2-1), "")</f>
        <v>-0.28529411764705881</v>
      </c>
      <c r="C2" s="139">
        <f>E2-'[1]Czech Republic'!C2</f>
        <v>1217</v>
      </c>
      <c r="D2" s="140">
        <f>F2-'[1]Czech Republic'!D2</f>
        <v>2311</v>
      </c>
      <c r="E2" s="169">
        <v>6075</v>
      </c>
      <c r="F2" s="140">
        <v>8500</v>
      </c>
      <c r="G2" s="140">
        <v>5705</v>
      </c>
      <c r="H2" s="140">
        <v>5488</v>
      </c>
      <c r="I2" s="142">
        <v>5031</v>
      </c>
      <c r="J2" s="140">
        <v>4820</v>
      </c>
      <c r="K2" s="140">
        <v>2625</v>
      </c>
      <c r="L2" s="125"/>
      <c r="M2" s="114"/>
      <c r="N2" s="114"/>
      <c r="O2" s="114"/>
      <c r="P2" s="114"/>
      <c r="Q2" s="114"/>
      <c r="R2" s="114"/>
      <c r="S2" s="114"/>
      <c r="T2" s="114"/>
      <c r="U2" s="114"/>
      <c r="V2" s="115"/>
    </row>
    <row r="3" spans="1:22">
      <c r="A3" s="50" t="s">
        <v>8</v>
      </c>
      <c r="B3" s="51">
        <f t="shared" si="0"/>
        <v>-5.587256300523058E-2</v>
      </c>
      <c r="C3" s="132">
        <f>E3-'[1]Czech Republic'!C3</f>
        <v>-1549</v>
      </c>
      <c r="D3" s="31">
        <f>F3-'[1]Czech Republic'!D3</f>
        <v>-1422</v>
      </c>
      <c r="E3" s="164">
        <v>7942</v>
      </c>
      <c r="F3" s="31">
        <v>8412</v>
      </c>
      <c r="G3" s="31">
        <v>6256</v>
      </c>
      <c r="H3" s="31">
        <v>7123</v>
      </c>
      <c r="I3" s="31">
        <v>4317</v>
      </c>
      <c r="J3" s="85">
        <v>5649</v>
      </c>
      <c r="K3" s="85">
        <v>4527</v>
      </c>
      <c r="L3" s="1">
        <v>4195</v>
      </c>
      <c r="M3" s="31">
        <v>4920</v>
      </c>
      <c r="N3" s="31">
        <v>1694</v>
      </c>
      <c r="O3" s="31">
        <v>2090</v>
      </c>
      <c r="P3" s="31">
        <v>563</v>
      </c>
      <c r="Q3" s="31">
        <v>319</v>
      </c>
      <c r="R3" s="31">
        <v>278</v>
      </c>
      <c r="S3" s="31">
        <v>414</v>
      </c>
      <c r="T3" s="31">
        <v>238</v>
      </c>
      <c r="U3" s="31">
        <v>162</v>
      </c>
      <c r="V3" s="32">
        <v>123</v>
      </c>
    </row>
    <row r="4" spans="1:22">
      <c r="A4" s="50" t="s">
        <v>13</v>
      </c>
      <c r="B4" s="51">
        <f t="shared" si="0"/>
        <v>-0.87089201877934275</v>
      </c>
      <c r="C4" s="132">
        <f>E4-'[1]Czech Republic'!C4</f>
        <v>-6</v>
      </c>
      <c r="D4" s="31">
        <f>F4-'[1]Czech Republic'!D4</f>
        <v>202</v>
      </c>
      <c r="E4" s="164">
        <v>55</v>
      </c>
      <c r="F4" s="31">
        <v>426</v>
      </c>
      <c r="G4" s="31">
        <v>303</v>
      </c>
      <c r="H4" s="31">
        <v>1003</v>
      </c>
      <c r="I4" s="31">
        <v>241</v>
      </c>
      <c r="J4" s="85">
        <v>1577</v>
      </c>
      <c r="K4" s="85">
        <v>664</v>
      </c>
      <c r="L4" s="1">
        <v>465</v>
      </c>
      <c r="M4" s="31">
        <v>958</v>
      </c>
      <c r="N4" s="31">
        <v>1533</v>
      </c>
      <c r="O4" s="31">
        <v>1339</v>
      </c>
      <c r="P4" s="31">
        <v>1833</v>
      </c>
      <c r="Q4" s="31">
        <v>1515</v>
      </c>
      <c r="R4" s="31">
        <v>1754</v>
      </c>
      <c r="S4" s="31">
        <v>1771</v>
      </c>
      <c r="T4" s="31">
        <v>2317</v>
      </c>
      <c r="U4" s="31">
        <v>1558</v>
      </c>
      <c r="V4" s="32">
        <v>2109</v>
      </c>
    </row>
    <row r="5" spans="1:22">
      <c r="A5" s="50" t="s">
        <v>2</v>
      </c>
      <c r="B5" s="51">
        <f t="shared" si="0"/>
        <v>-0.20915841584158412</v>
      </c>
      <c r="C5" s="132">
        <f>E5-'[1]Czech Republic'!C5</f>
        <v>-2703</v>
      </c>
      <c r="D5" s="31">
        <f>F5-'[1]Czech Republic'!D5</f>
        <v>-235</v>
      </c>
      <c r="E5" s="164">
        <v>12141</v>
      </c>
      <c r="F5" s="31">
        <v>15352</v>
      </c>
      <c r="G5" s="31">
        <v>11946</v>
      </c>
      <c r="H5" s="31">
        <v>15610</v>
      </c>
      <c r="I5" s="31">
        <v>12615</v>
      </c>
      <c r="J5" s="85">
        <v>17603</v>
      </c>
      <c r="K5" s="85">
        <v>15295</v>
      </c>
      <c r="L5" s="1">
        <v>14566</v>
      </c>
      <c r="M5" s="31">
        <v>16840</v>
      </c>
      <c r="N5" s="31">
        <v>17838</v>
      </c>
      <c r="O5" s="31">
        <v>11485</v>
      </c>
      <c r="P5" s="31">
        <v>9464</v>
      </c>
      <c r="Q5" s="31">
        <v>10437</v>
      </c>
      <c r="R5" s="31">
        <v>6423</v>
      </c>
      <c r="S5" s="31">
        <v>9715</v>
      </c>
      <c r="T5" s="31">
        <v>10292</v>
      </c>
      <c r="U5" s="31">
        <v>7097</v>
      </c>
      <c r="V5" s="32">
        <v>5074</v>
      </c>
    </row>
    <row r="6" spans="1:22">
      <c r="A6" s="50" t="s">
        <v>9</v>
      </c>
      <c r="B6" s="51">
        <f t="shared" si="0"/>
        <v>-0.46152789227809843</v>
      </c>
      <c r="C6" s="132">
        <f>E6-'[1]Czech Republic'!C6</f>
        <v>584</v>
      </c>
      <c r="D6" s="31">
        <f>F6-'[1]Czech Republic'!D6</f>
        <v>2367</v>
      </c>
      <c r="E6" s="164">
        <v>3919</v>
      </c>
      <c r="F6" s="31">
        <v>7278</v>
      </c>
      <c r="G6" s="31">
        <v>7822</v>
      </c>
      <c r="H6" s="31">
        <v>7531</v>
      </c>
      <c r="I6" s="31">
        <v>6363</v>
      </c>
      <c r="J6" s="85">
        <v>13049</v>
      </c>
      <c r="K6" s="85">
        <v>8343</v>
      </c>
      <c r="L6" s="1">
        <v>7737</v>
      </c>
      <c r="M6" s="31">
        <v>13178</v>
      </c>
      <c r="N6" s="31">
        <v>12300</v>
      </c>
      <c r="O6" s="31">
        <v>11031</v>
      </c>
      <c r="P6" s="31">
        <v>15286</v>
      </c>
      <c r="Q6" s="31">
        <v>7546</v>
      </c>
      <c r="R6" s="31">
        <v>12780</v>
      </c>
      <c r="S6" s="31">
        <v>17523</v>
      </c>
      <c r="T6" s="31">
        <v>19682</v>
      </c>
      <c r="U6" s="31">
        <v>13584</v>
      </c>
      <c r="V6" s="32">
        <v>18851</v>
      </c>
    </row>
    <row r="7" spans="1:22">
      <c r="A7" s="50" t="s">
        <v>26</v>
      </c>
      <c r="B7" s="51">
        <f t="shared" si="0"/>
        <v>-0.4178470254957507</v>
      </c>
      <c r="C7" s="132">
        <f>E7-'[1]Czech Republic'!C7</f>
        <v>2118</v>
      </c>
      <c r="D7" s="31">
        <f>F7-'[1]Czech Republic'!D7</f>
        <v>-743</v>
      </c>
      <c r="E7" s="164">
        <v>7398</v>
      </c>
      <c r="F7" s="31">
        <v>12708</v>
      </c>
      <c r="G7" s="31">
        <v>11588</v>
      </c>
      <c r="H7" s="31">
        <v>8638</v>
      </c>
      <c r="I7" s="31">
        <v>4966</v>
      </c>
      <c r="J7" s="85">
        <v>11980</v>
      </c>
      <c r="K7" s="85">
        <v>5042</v>
      </c>
      <c r="L7" s="1">
        <v>5023</v>
      </c>
      <c r="M7" s="31">
        <v>8884</v>
      </c>
      <c r="N7" s="31">
        <v>7243</v>
      </c>
      <c r="O7" s="31">
        <v>5800</v>
      </c>
      <c r="P7" s="31">
        <v>3977</v>
      </c>
      <c r="Q7" s="31">
        <v>3155</v>
      </c>
      <c r="R7" s="31">
        <v>3143</v>
      </c>
      <c r="S7" s="31">
        <v>4802</v>
      </c>
      <c r="T7" s="31">
        <v>5891</v>
      </c>
      <c r="U7" s="31">
        <v>2709</v>
      </c>
      <c r="V7" s="32">
        <v>3342</v>
      </c>
    </row>
    <row r="8" spans="1:22">
      <c r="A8" s="50" t="s">
        <v>18</v>
      </c>
      <c r="B8" s="51">
        <f t="shared" si="0"/>
        <v>-0.50106357835027182</v>
      </c>
      <c r="C8" s="132">
        <f>E8-'[1]Czech Republic'!C8</f>
        <v>-1180</v>
      </c>
      <c r="D8" s="31">
        <f>F8-'[1]Czech Republic'!D8</f>
        <v>263</v>
      </c>
      <c r="E8" s="164">
        <v>2111</v>
      </c>
      <c r="F8" s="31">
        <v>4231</v>
      </c>
      <c r="G8" s="31">
        <v>2386</v>
      </c>
      <c r="H8" s="31">
        <v>2082</v>
      </c>
      <c r="I8" s="31">
        <v>1817</v>
      </c>
      <c r="J8" s="85">
        <v>2447</v>
      </c>
      <c r="K8" s="85">
        <v>1191</v>
      </c>
      <c r="L8" s="1">
        <v>1389</v>
      </c>
      <c r="M8" s="31">
        <v>827</v>
      </c>
      <c r="N8" s="31">
        <v>925</v>
      </c>
      <c r="O8" s="31">
        <v>249</v>
      </c>
      <c r="P8" s="31">
        <v>519</v>
      </c>
      <c r="Q8" s="31">
        <v>113</v>
      </c>
      <c r="R8" s="31">
        <v>241</v>
      </c>
      <c r="S8" s="31">
        <v>23</v>
      </c>
      <c r="T8" s="31">
        <v>400</v>
      </c>
      <c r="U8" s="31">
        <v>159</v>
      </c>
      <c r="V8" s="32">
        <v>123</v>
      </c>
    </row>
    <row r="9" spans="1:22">
      <c r="A9" s="29" t="s">
        <v>88</v>
      </c>
      <c r="B9" s="51">
        <f t="shared" si="0"/>
        <v>-0.66449934980494141</v>
      </c>
      <c r="C9" s="132">
        <f>E9-'[1]Czech Republic'!C9</f>
        <v>-746</v>
      </c>
      <c r="D9" s="31">
        <f>F9-'[1]Czech Republic'!D9</f>
        <v>-307</v>
      </c>
      <c r="E9" s="164">
        <v>258</v>
      </c>
      <c r="F9" s="31">
        <v>769</v>
      </c>
      <c r="G9" s="31">
        <v>1641</v>
      </c>
      <c r="H9" s="31">
        <v>1830</v>
      </c>
      <c r="I9" s="31">
        <v>933</v>
      </c>
      <c r="J9" s="85">
        <v>2507</v>
      </c>
      <c r="K9" s="85">
        <v>1321</v>
      </c>
      <c r="L9" s="1">
        <v>2166</v>
      </c>
      <c r="M9" s="31">
        <v>2376</v>
      </c>
      <c r="N9" s="31">
        <v>2128</v>
      </c>
      <c r="O9" s="31">
        <v>1347</v>
      </c>
      <c r="P9" s="31">
        <v>1498</v>
      </c>
      <c r="Q9" s="31">
        <v>823</v>
      </c>
      <c r="R9" s="31">
        <v>964</v>
      </c>
      <c r="S9" s="31">
        <v>2146</v>
      </c>
      <c r="T9" s="31">
        <v>2080</v>
      </c>
      <c r="U9" s="31">
        <v>1555</v>
      </c>
      <c r="V9" s="32">
        <v>1967</v>
      </c>
    </row>
    <row r="10" spans="1:22">
      <c r="A10" s="50" t="s">
        <v>34</v>
      </c>
      <c r="B10" s="51">
        <f t="shared" si="0"/>
        <v>-1</v>
      </c>
      <c r="C10" s="132">
        <f>E10-'[1]Czech Republic'!C10</f>
        <v>0</v>
      </c>
      <c r="D10" s="31">
        <f>F10-'[1]Czech Republic'!D10</f>
        <v>9</v>
      </c>
      <c r="E10" s="164">
        <v>0</v>
      </c>
      <c r="F10" s="31">
        <v>34</v>
      </c>
      <c r="G10" s="31">
        <v>32</v>
      </c>
      <c r="H10" s="31">
        <v>319</v>
      </c>
      <c r="I10" s="31">
        <v>88</v>
      </c>
      <c r="J10" s="85">
        <v>26</v>
      </c>
      <c r="K10" s="85">
        <v>35</v>
      </c>
      <c r="L10" s="1">
        <v>50</v>
      </c>
      <c r="M10" s="31">
        <v>104</v>
      </c>
      <c r="N10" s="31">
        <v>179</v>
      </c>
      <c r="O10" s="31">
        <v>109</v>
      </c>
      <c r="P10" s="31">
        <v>573</v>
      </c>
      <c r="Q10" s="31">
        <v>157</v>
      </c>
      <c r="R10" s="31">
        <v>124</v>
      </c>
      <c r="S10" s="31">
        <v>241</v>
      </c>
      <c r="T10" s="31">
        <v>344</v>
      </c>
      <c r="U10" s="31">
        <v>485</v>
      </c>
      <c r="V10" s="32">
        <v>280</v>
      </c>
    </row>
    <row r="11" spans="1:22" ht="13.8" thickBot="1">
      <c r="A11" s="72" t="s">
        <v>58</v>
      </c>
      <c r="B11" s="53">
        <f t="shared" si="0"/>
        <v>-0.37174616575207542</v>
      </c>
      <c r="C11" s="134">
        <f>E11-'[1]Czech Republic'!C11</f>
        <v>-202</v>
      </c>
      <c r="D11" s="35">
        <f>F11-'[1]Czech Republic'!D11</f>
        <v>-1143</v>
      </c>
      <c r="E11" s="166">
        <v>4465</v>
      </c>
      <c r="F11" s="35">
        <v>7107</v>
      </c>
      <c r="G11" s="35">
        <v>5184</v>
      </c>
      <c r="H11" s="35">
        <v>5353</v>
      </c>
      <c r="I11" s="35">
        <v>4332</v>
      </c>
      <c r="J11" s="86">
        <v>6541</v>
      </c>
      <c r="K11" s="85">
        <v>2112</v>
      </c>
      <c r="L11" s="1">
        <v>7025</v>
      </c>
      <c r="M11" s="35">
        <v>7694</v>
      </c>
      <c r="N11" s="35">
        <v>5917</v>
      </c>
      <c r="O11" s="35">
        <v>5929</v>
      </c>
      <c r="P11" s="35">
        <v>4853</v>
      </c>
      <c r="Q11" s="35">
        <v>2159</v>
      </c>
      <c r="R11" s="35">
        <v>3988</v>
      </c>
      <c r="S11" s="35">
        <v>6062</v>
      </c>
      <c r="T11" s="35">
        <v>7423</v>
      </c>
      <c r="U11" s="35">
        <v>4622</v>
      </c>
      <c r="V11" s="36">
        <v>7300</v>
      </c>
    </row>
    <row r="12" spans="1:22" ht="13.8" thickBot="1">
      <c r="A12" s="74" t="s">
        <v>22</v>
      </c>
      <c r="B12" s="54">
        <f t="shared" si="0"/>
        <v>-0.31554993288797695</v>
      </c>
      <c r="C12" s="135">
        <f>E12-'[1]Czech Republic'!C12</f>
        <v>-2467</v>
      </c>
      <c r="D12" s="55">
        <f>F12-'[1]Czech Republic'!D12</f>
        <v>1302</v>
      </c>
      <c r="E12" s="167">
        <f>SUM(E2:E11)</f>
        <v>44364</v>
      </c>
      <c r="F12" s="55">
        <f>SUM(F2:F11)</f>
        <v>64817</v>
      </c>
      <c r="G12" s="55">
        <f>SUM(G2:G11)</f>
        <v>52863</v>
      </c>
      <c r="H12" s="55">
        <f>SUM(H2:H11)</f>
        <v>54977</v>
      </c>
      <c r="I12" s="55">
        <f>SUM(I2:I11)</f>
        <v>40703</v>
      </c>
      <c r="J12" s="87">
        <v>66199</v>
      </c>
      <c r="K12" s="127">
        <v>41155</v>
      </c>
      <c r="L12" s="126">
        <f>SUM(L3:L11)</f>
        <v>42616</v>
      </c>
      <c r="M12" s="55">
        <f>SUM(M3:M11)</f>
        <v>55781</v>
      </c>
      <c r="N12" s="55">
        <f>SUM(N3:N11)</f>
        <v>49757</v>
      </c>
      <c r="O12" s="55">
        <f>SUM(O3:O11)</f>
        <v>39379</v>
      </c>
      <c r="P12" s="55">
        <f>SUM(P3:P11)</f>
        <v>38566</v>
      </c>
      <c r="Q12" s="55">
        <f t="shared" ref="Q12:V12" si="1">SUM(Q3:Q11)</f>
        <v>26224</v>
      </c>
      <c r="R12" s="55">
        <f t="shared" si="1"/>
        <v>29695</v>
      </c>
      <c r="S12" s="55">
        <f t="shared" si="1"/>
        <v>42697</v>
      </c>
      <c r="T12" s="55">
        <f t="shared" si="1"/>
        <v>48667</v>
      </c>
      <c r="U12" s="55">
        <f t="shared" si="1"/>
        <v>31931</v>
      </c>
      <c r="V12" s="56">
        <f t="shared" si="1"/>
        <v>39169</v>
      </c>
    </row>
    <row r="13" spans="1:22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22" ht="13.8" thickBot="1"/>
    <row r="15" spans="1:22" ht="13.8" thickBot="1">
      <c r="A15" s="27" t="s">
        <v>24</v>
      </c>
      <c r="B15" s="12" t="s">
        <v>184</v>
      </c>
      <c r="C15" s="117" t="s">
        <v>185</v>
      </c>
      <c r="D15" s="42" t="s">
        <v>179</v>
      </c>
      <c r="E15" s="156">
        <v>45261</v>
      </c>
      <c r="F15" s="13">
        <v>44896</v>
      </c>
      <c r="G15" s="13">
        <v>44531</v>
      </c>
      <c r="H15" s="13">
        <v>44166</v>
      </c>
      <c r="I15" s="13">
        <v>43800</v>
      </c>
      <c r="J15" s="13">
        <v>43435</v>
      </c>
      <c r="K15" s="13">
        <v>43070</v>
      </c>
      <c r="L15" s="13">
        <v>42705</v>
      </c>
      <c r="M15" s="28">
        <f>M1</f>
        <v>42339</v>
      </c>
      <c r="N15" s="28">
        <f>N1</f>
        <v>41974</v>
      </c>
      <c r="O15" s="28">
        <v>41609</v>
      </c>
      <c r="P15" s="28">
        <v>41244</v>
      </c>
      <c r="Q15" s="28">
        <v>40878</v>
      </c>
      <c r="R15" s="28">
        <v>40513</v>
      </c>
      <c r="S15" s="28">
        <v>40148</v>
      </c>
      <c r="T15" s="28">
        <v>39783</v>
      </c>
      <c r="U15" s="28">
        <v>39417</v>
      </c>
      <c r="V15" s="44">
        <v>39052</v>
      </c>
    </row>
    <row r="16" spans="1:22">
      <c r="A16" s="29" t="s">
        <v>6</v>
      </c>
      <c r="B16" s="30">
        <f t="shared" ref="B16:B21" si="2">IFERROR((E16/F16-1), "")</f>
        <v>0.2511326860841423</v>
      </c>
      <c r="C16" s="132">
        <f>E16-'[1]Czech Republic'!C16</f>
        <v>47</v>
      </c>
      <c r="D16" s="31">
        <f>F16-'[1]Czech Republic'!D16</f>
        <v>-261</v>
      </c>
      <c r="E16" s="164">
        <v>1933</v>
      </c>
      <c r="F16" s="31">
        <v>1545</v>
      </c>
      <c r="G16" s="31">
        <v>864</v>
      </c>
      <c r="H16" s="31">
        <v>1789</v>
      </c>
      <c r="I16" s="31">
        <v>2630</v>
      </c>
      <c r="J16" s="85">
        <v>1335</v>
      </c>
      <c r="K16" s="85">
        <v>1444</v>
      </c>
      <c r="L16" s="31">
        <v>1016</v>
      </c>
      <c r="M16" s="31">
        <v>2954</v>
      </c>
      <c r="N16" s="31">
        <v>368</v>
      </c>
      <c r="O16" s="31">
        <v>1537</v>
      </c>
      <c r="P16" s="31">
        <v>131</v>
      </c>
      <c r="Q16" s="31">
        <v>705</v>
      </c>
      <c r="R16" s="31">
        <v>79</v>
      </c>
      <c r="S16" s="31">
        <v>141</v>
      </c>
      <c r="T16" s="31">
        <v>0</v>
      </c>
      <c r="U16" s="31">
        <v>0</v>
      </c>
      <c r="V16" s="32">
        <v>20</v>
      </c>
    </row>
    <row r="17" spans="1:23">
      <c r="A17" s="29" t="s">
        <v>41</v>
      </c>
      <c r="B17" s="30">
        <f t="shared" si="2"/>
        <v>3.05</v>
      </c>
      <c r="C17" s="132">
        <f>E17-'[1]Czech Republic'!C17</f>
        <v>160</v>
      </c>
      <c r="D17" s="31">
        <f>F17-'[1]Czech Republic'!D17</f>
        <v>-280</v>
      </c>
      <c r="E17" s="164">
        <v>162</v>
      </c>
      <c r="F17" s="31">
        <v>40</v>
      </c>
      <c r="G17" s="31">
        <v>29</v>
      </c>
      <c r="H17" s="31">
        <v>39</v>
      </c>
      <c r="I17" s="31">
        <v>30</v>
      </c>
      <c r="J17" s="85">
        <v>19</v>
      </c>
      <c r="K17" s="85">
        <v>0</v>
      </c>
      <c r="L17" s="31">
        <v>31</v>
      </c>
      <c r="M17" s="31">
        <v>47</v>
      </c>
      <c r="N17" s="31">
        <v>2</v>
      </c>
      <c r="O17" s="31">
        <v>84</v>
      </c>
      <c r="P17" s="31">
        <v>0</v>
      </c>
      <c r="Q17" s="31">
        <v>57</v>
      </c>
      <c r="R17" s="31">
        <v>100</v>
      </c>
      <c r="S17" s="31">
        <v>10</v>
      </c>
      <c r="T17" s="31">
        <v>0</v>
      </c>
      <c r="U17" s="31">
        <v>0</v>
      </c>
      <c r="V17" s="32">
        <v>35</v>
      </c>
    </row>
    <row r="18" spans="1:23">
      <c r="A18" s="29" t="s">
        <v>155</v>
      </c>
      <c r="B18" s="30">
        <f t="shared" si="2"/>
        <v>0.28000000000000003</v>
      </c>
      <c r="C18" s="132">
        <f>E18-'[1]Czech Republic'!C18</f>
        <v>-88</v>
      </c>
      <c r="D18" s="31">
        <f>F18-'[1]Czech Republic'!D18</f>
        <v>-34</v>
      </c>
      <c r="E18" s="164">
        <v>192</v>
      </c>
      <c r="F18" s="31">
        <v>150</v>
      </c>
      <c r="G18" s="31">
        <v>460</v>
      </c>
      <c r="H18" s="31">
        <v>520</v>
      </c>
      <c r="I18" s="31">
        <v>151</v>
      </c>
      <c r="J18" s="85">
        <v>315</v>
      </c>
      <c r="K18" s="85">
        <v>112</v>
      </c>
      <c r="L18" s="31">
        <v>170</v>
      </c>
      <c r="M18" s="31">
        <v>167</v>
      </c>
      <c r="N18" s="31">
        <v>70</v>
      </c>
      <c r="O18" s="31">
        <v>145</v>
      </c>
      <c r="P18" s="31">
        <v>143</v>
      </c>
      <c r="Q18" s="31"/>
      <c r="R18" s="31"/>
      <c r="S18" s="31"/>
      <c r="T18" s="31"/>
      <c r="U18" s="31"/>
      <c r="V18" s="32"/>
    </row>
    <row r="19" spans="1:23">
      <c r="A19" s="29" t="s">
        <v>156</v>
      </c>
      <c r="B19" s="30">
        <f t="shared" si="2"/>
        <v>-0.32167832167832167</v>
      </c>
      <c r="C19" s="132">
        <f>E19-'[1]Czech Republic'!C19</f>
        <v>-155</v>
      </c>
      <c r="D19" s="31">
        <f>F19-'[1]Czech Republic'!D19</f>
        <v>-294</v>
      </c>
      <c r="E19" s="164">
        <v>97</v>
      </c>
      <c r="F19" s="31">
        <v>143</v>
      </c>
      <c r="G19" s="31">
        <v>408</v>
      </c>
      <c r="H19" s="31">
        <v>1007</v>
      </c>
      <c r="I19" s="31">
        <v>381</v>
      </c>
      <c r="J19" s="85">
        <v>469</v>
      </c>
      <c r="K19" s="85">
        <v>154</v>
      </c>
      <c r="L19" s="31">
        <v>149</v>
      </c>
      <c r="M19" s="31">
        <v>1086</v>
      </c>
      <c r="N19" s="31">
        <v>60</v>
      </c>
      <c r="O19" s="31">
        <v>788</v>
      </c>
      <c r="P19" s="31">
        <v>484</v>
      </c>
      <c r="Q19" s="31"/>
      <c r="R19" s="31"/>
      <c r="S19" s="31"/>
      <c r="T19" s="31"/>
      <c r="U19" s="31"/>
      <c r="V19" s="32"/>
    </row>
    <row r="20" spans="1:23" ht="13.8" thickBot="1">
      <c r="A20" s="33" t="s">
        <v>5</v>
      </c>
      <c r="B20" s="30">
        <f t="shared" si="2"/>
        <v>0.37579617834394896</v>
      </c>
      <c r="C20" s="132">
        <f>E20-'[1]Czech Republic'!C20</f>
        <v>-50</v>
      </c>
      <c r="D20" s="31">
        <f>F20-'[1]Czech Republic'!D20</f>
        <v>-72</v>
      </c>
      <c r="E20" s="164">
        <v>216</v>
      </c>
      <c r="F20" s="31">
        <v>157</v>
      </c>
      <c r="G20" s="31">
        <v>193</v>
      </c>
      <c r="H20" s="31">
        <v>232</v>
      </c>
      <c r="I20" s="31">
        <v>100</v>
      </c>
      <c r="J20" s="85">
        <v>210</v>
      </c>
      <c r="K20" s="85">
        <v>9</v>
      </c>
      <c r="L20" s="35">
        <v>38</v>
      </c>
      <c r="M20" s="35">
        <v>39</v>
      </c>
      <c r="N20" s="35">
        <v>98</v>
      </c>
      <c r="O20" s="35">
        <v>140</v>
      </c>
      <c r="P20" s="35">
        <v>98</v>
      </c>
      <c r="Q20" s="35">
        <v>464</v>
      </c>
      <c r="R20" s="35">
        <v>504</v>
      </c>
      <c r="S20" s="35">
        <v>536</v>
      </c>
      <c r="T20" s="35">
        <v>0</v>
      </c>
      <c r="U20" s="35">
        <v>38</v>
      </c>
      <c r="V20" s="36">
        <v>101</v>
      </c>
      <c r="W20" s="31"/>
    </row>
    <row r="21" spans="1:23" ht="13.8" thickBot="1">
      <c r="A21" s="37" t="s">
        <v>93</v>
      </c>
      <c r="B21" s="38">
        <f t="shared" si="2"/>
        <v>0.27764127764127755</v>
      </c>
      <c r="C21" s="133">
        <f>E21-'[1]Czech Republic'!C21</f>
        <v>-86</v>
      </c>
      <c r="D21" s="39">
        <f>F21-'[1]Czech Republic'!D21</f>
        <v>-941</v>
      </c>
      <c r="E21" s="163">
        <f>SUM(E16:E20)</f>
        <v>2600</v>
      </c>
      <c r="F21" s="39">
        <f>SUM(F16:F20)</f>
        <v>2035</v>
      </c>
      <c r="G21" s="39">
        <f>SUM(G16:G20)</f>
        <v>1954</v>
      </c>
      <c r="H21" s="39">
        <f>SUM(H16:H20)</f>
        <v>3587</v>
      </c>
      <c r="I21" s="39">
        <f>SUM(I16:I20)</f>
        <v>3292</v>
      </c>
      <c r="J21" s="127">
        <v>2348</v>
      </c>
      <c r="K21" s="127">
        <v>1719</v>
      </c>
      <c r="L21" s="39">
        <f>SUM(L16:L20)</f>
        <v>1404</v>
      </c>
      <c r="M21" s="39">
        <f>SUM(M16:M20)</f>
        <v>4293</v>
      </c>
      <c r="N21" s="39">
        <f t="shared" ref="N21:S21" si="3">SUM(N16:N20)</f>
        <v>598</v>
      </c>
      <c r="O21" s="39">
        <f t="shared" si="3"/>
        <v>2694</v>
      </c>
      <c r="P21" s="39">
        <f t="shared" si="3"/>
        <v>856</v>
      </c>
      <c r="Q21" s="39">
        <f t="shared" si="3"/>
        <v>1226</v>
      </c>
      <c r="R21" s="39">
        <f t="shared" si="3"/>
        <v>683</v>
      </c>
      <c r="S21" s="39">
        <f t="shared" si="3"/>
        <v>687</v>
      </c>
      <c r="T21" s="39">
        <v>0</v>
      </c>
      <c r="U21" s="39">
        <f>SUM(U16:U20)</f>
        <v>38</v>
      </c>
      <c r="V21" s="40">
        <f>SUM(V16:V20)</f>
        <v>156</v>
      </c>
      <c r="W21" s="31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27"/>
  <sheetViews>
    <sheetView workbookViewId="0"/>
  </sheetViews>
  <sheetFormatPr defaultColWidth="9.109375" defaultRowHeight="13.2"/>
  <cols>
    <col min="1" max="1" width="24.66406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2" width="10.109375" style="26" bestFit="1" customWidth="1"/>
    <col min="23" max="16384" width="9.109375" style="26"/>
  </cols>
  <sheetData>
    <row r="1" spans="1:23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28">
        <v>39783</v>
      </c>
      <c r="U1" s="28">
        <v>39417</v>
      </c>
      <c r="V1" s="44">
        <v>39052</v>
      </c>
    </row>
    <row r="2" spans="1:23">
      <c r="A2" s="29" t="s">
        <v>3</v>
      </c>
      <c r="B2" s="30">
        <f t="shared" ref="B2:B20" si="0">IFERROR((E2/F2-1), "")</f>
        <v>-0.8</v>
      </c>
      <c r="C2" s="132">
        <f>E2-[1]Denmark!C2</f>
        <v>-60</v>
      </c>
      <c r="D2" s="31">
        <f>F2-[1]Denmark!D2</f>
        <v>-16</v>
      </c>
      <c r="E2" s="164">
        <v>12</v>
      </c>
      <c r="F2" s="31">
        <v>60</v>
      </c>
      <c r="G2" s="31">
        <v>36</v>
      </c>
      <c r="H2" s="31">
        <v>0</v>
      </c>
      <c r="I2" s="31">
        <v>29</v>
      </c>
      <c r="J2" s="31">
        <v>76</v>
      </c>
      <c r="K2" s="31">
        <v>57</v>
      </c>
      <c r="L2" s="31">
        <v>80</v>
      </c>
      <c r="M2" s="31">
        <v>132</v>
      </c>
      <c r="N2" s="31">
        <v>100</v>
      </c>
      <c r="O2" s="31">
        <v>86</v>
      </c>
      <c r="P2" s="31">
        <v>105</v>
      </c>
      <c r="Q2" s="31">
        <v>170</v>
      </c>
      <c r="R2" s="31">
        <v>146</v>
      </c>
      <c r="S2" s="31">
        <v>124</v>
      </c>
      <c r="T2" s="31">
        <v>335</v>
      </c>
      <c r="U2" s="31">
        <v>234</v>
      </c>
      <c r="V2" s="32">
        <v>147</v>
      </c>
    </row>
    <row r="3" spans="1:23">
      <c r="A3" s="29" t="s">
        <v>107</v>
      </c>
      <c r="B3" s="30">
        <f t="shared" si="0"/>
        <v>-0.12745098039215685</v>
      </c>
      <c r="C3" s="132">
        <f>E3-[1]Denmark!C3</f>
        <v>-9</v>
      </c>
      <c r="D3" s="31">
        <f>F3-[1]Denmark!D3</f>
        <v>-33</v>
      </c>
      <c r="E3" s="164">
        <v>89</v>
      </c>
      <c r="F3" s="31">
        <v>102</v>
      </c>
      <c r="G3" s="31">
        <v>249</v>
      </c>
      <c r="H3" s="31">
        <v>15</v>
      </c>
      <c r="I3" s="31">
        <v>385</v>
      </c>
      <c r="J3" s="31">
        <v>439</v>
      </c>
      <c r="K3" s="31">
        <v>376</v>
      </c>
      <c r="L3" s="31">
        <v>568</v>
      </c>
      <c r="M3" s="31">
        <v>491</v>
      </c>
      <c r="N3" s="31">
        <v>593</v>
      </c>
      <c r="O3" s="31">
        <v>575</v>
      </c>
      <c r="P3" s="31">
        <v>447</v>
      </c>
      <c r="Q3" s="31">
        <v>536</v>
      </c>
      <c r="R3" s="31">
        <v>399</v>
      </c>
      <c r="S3" s="31">
        <v>365</v>
      </c>
      <c r="T3" s="31">
        <v>223</v>
      </c>
      <c r="U3" s="31"/>
      <c r="V3" s="32"/>
    </row>
    <row r="4" spans="1:23">
      <c r="A4" s="29" t="s">
        <v>4</v>
      </c>
      <c r="B4" s="30">
        <f t="shared" si="0"/>
        <v>-0.40304182509505704</v>
      </c>
      <c r="C4" s="132">
        <f>E4-[1]Denmark!C4</f>
        <v>-89</v>
      </c>
      <c r="D4" s="31">
        <f>F4-[1]Denmark!D4</f>
        <v>-112</v>
      </c>
      <c r="E4" s="164">
        <v>157</v>
      </c>
      <c r="F4" s="31">
        <v>263</v>
      </c>
      <c r="G4" s="31">
        <v>209</v>
      </c>
      <c r="H4" s="31">
        <v>45</v>
      </c>
      <c r="I4" s="31">
        <v>336</v>
      </c>
      <c r="J4" s="31">
        <v>657</v>
      </c>
      <c r="K4" s="31">
        <v>313</v>
      </c>
      <c r="L4" s="31">
        <v>532</v>
      </c>
      <c r="M4" s="31">
        <v>656</v>
      </c>
      <c r="N4" s="31">
        <v>577</v>
      </c>
      <c r="O4" s="31">
        <v>473</v>
      </c>
      <c r="P4" s="31">
        <v>373</v>
      </c>
      <c r="Q4" s="31">
        <v>437</v>
      </c>
      <c r="R4" s="31">
        <v>549</v>
      </c>
      <c r="S4" s="31">
        <v>388</v>
      </c>
      <c r="T4" s="31">
        <v>565</v>
      </c>
      <c r="U4" s="31">
        <v>1343</v>
      </c>
      <c r="V4" s="32">
        <v>837</v>
      </c>
    </row>
    <row r="5" spans="1:23">
      <c r="A5" s="29" t="s">
        <v>1</v>
      </c>
      <c r="B5" s="30">
        <f t="shared" si="0"/>
        <v>-0.27831895352073477</v>
      </c>
      <c r="C5" s="132">
        <f>E5-[1]Denmark!C5</f>
        <v>-817</v>
      </c>
      <c r="D5" s="31">
        <f>F5-[1]Denmark!D5</f>
        <v>-1101</v>
      </c>
      <c r="E5" s="164">
        <v>2593</v>
      </c>
      <c r="F5" s="31">
        <v>3593</v>
      </c>
      <c r="G5" s="31">
        <v>4008</v>
      </c>
      <c r="H5" s="31">
        <v>2499</v>
      </c>
      <c r="I5" s="31">
        <v>3746</v>
      </c>
      <c r="J5" s="31">
        <v>4874</v>
      </c>
      <c r="K5" s="31">
        <v>2674</v>
      </c>
      <c r="L5" s="31">
        <v>3959</v>
      </c>
      <c r="M5" s="31">
        <v>3901</v>
      </c>
      <c r="N5" s="31">
        <v>3803</v>
      </c>
      <c r="O5" s="31">
        <v>3352</v>
      </c>
      <c r="P5" s="31">
        <v>2437</v>
      </c>
      <c r="Q5" s="31">
        <v>3308</v>
      </c>
      <c r="R5" s="31">
        <v>2420</v>
      </c>
      <c r="S5" s="31">
        <v>3063</v>
      </c>
      <c r="T5" s="31">
        <v>3688</v>
      </c>
      <c r="U5" s="31">
        <v>2505</v>
      </c>
      <c r="V5" s="32">
        <v>2069</v>
      </c>
    </row>
    <row r="6" spans="1:23">
      <c r="A6" s="29" t="s">
        <v>11</v>
      </c>
      <c r="B6" s="30" t="str">
        <f t="shared" si="0"/>
        <v/>
      </c>
      <c r="C6" s="132">
        <f>E6-[1]Denmark!C6</f>
        <v>-2</v>
      </c>
      <c r="D6" s="31">
        <f>F6-[1]Denmark!D6</f>
        <v>-7</v>
      </c>
      <c r="E6" s="164">
        <v>9</v>
      </c>
      <c r="F6" s="31">
        <v>0</v>
      </c>
      <c r="G6" s="31">
        <v>0</v>
      </c>
      <c r="H6" s="31"/>
      <c r="I6" s="31">
        <v>5</v>
      </c>
      <c r="J6" s="31">
        <v>16</v>
      </c>
      <c r="K6" s="31">
        <v>24</v>
      </c>
      <c r="L6" s="31">
        <v>17</v>
      </c>
      <c r="M6" s="31">
        <v>17</v>
      </c>
      <c r="N6" s="31"/>
      <c r="O6" s="31">
        <v>29</v>
      </c>
      <c r="P6" s="31">
        <v>8</v>
      </c>
      <c r="Q6" s="31">
        <v>0</v>
      </c>
      <c r="R6" s="31">
        <v>3</v>
      </c>
      <c r="S6" s="31">
        <v>0</v>
      </c>
      <c r="T6" s="31">
        <v>5</v>
      </c>
      <c r="U6" s="31"/>
      <c r="V6" s="32"/>
    </row>
    <row r="7" spans="1:23">
      <c r="A7" s="29" t="s">
        <v>8</v>
      </c>
      <c r="B7" s="30">
        <f t="shared" si="0"/>
        <v>0.10714285714285721</v>
      </c>
      <c r="C7" s="132">
        <f>E7-[1]Denmark!C7</f>
        <v>-32</v>
      </c>
      <c r="D7" s="31">
        <f>F7-[1]Denmark!D7</f>
        <v>-35</v>
      </c>
      <c r="E7" s="164">
        <v>155</v>
      </c>
      <c r="F7" s="31">
        <v>140</v>
      </c>
      <c r="G7" s="31">
        <v>242</v>
      </c>
      <c r="H7" s="31">
        <v>156</v>
      </c>
      <c r="I7" s="31">
        <v>240</v>
      </c>
      <c r="J7" s="31">
        <v>606</v>
      </c>
      <c r="K7" s="31">
        <v>314</v>
      </c>
      <c r="L7" s="31">
        <v>562</v>
      </c>
      <c r="M7" s="31">
        <v>425</v>
      </c>
      <c r="N7" s="31">
        <v>392</v>
      </c>
      <c r="O7" s="31">
        <v>335</v>
      </c>
      <c r="P7" s="31">
        <v>184</v>
      </c>
      <c r="Q7" s="31">
        <v>262</v>
      </c>
      <c r="R7" s="31">
        <v>259</v>
      </c>
      <c r="S7" s="31">
        <v>284</v>
      </c>
      <c r="T7" s="31">
        <v>45</v>
      </c>
      <c r="U7" s="31"/>
      <c r="V7" s="32"/>
    </row>
    <row r="8" spans="1:23">
      <c r="A8" s="29" t="s">
        <v>13</v>
      </c>
      <c r="B8" s="30" t="str">
        <f t="shared" si="0"/>
        <v/>
      </c>
      <c r="C8" s="132">
        <f>E8-[1]Denmark!C8</f>
        <v>0</v>
      </c>
      <c r="D8" s="31">
        <f>F8-[1]Denmark!D8</f>
        <v>0</v>
      </c>
      <c r="E8" s="164"/>
      <c r="F8" s="31"/>
      <c r="G8" s="31">
        <v>0</v>
      </c>
      <c r="H8" s="31">
        <v>0</v>
      </c>
      <c r="I8" s="31"/>
      <c r="J8" s="31">
        <v>0</v>
      </c>
      <c r="K8" s="31">
        <v>0</v>
      </c>
      <c r="L8" s="31">
        <v>0</v>
      </c>
      <c r="M8" s="31">
        <v>4</v>
      </c>
      <c r="N8" s="31"/>
      <c r="O8" s="31">
        <v>10</v>
      </c>
      <c r="P8" s="31">
        <v>60</v>
      </c>
      <c r="Q8" s="31">
        <v>84</v>
      </c>
      <c r="R8" s="31">
        <v>62</v>
      </c>
      <c r="S8" s="31">
        <v>116</v>
      </c>
      <c r="T8" s="31">
        <v>399</v>
      </c>
      <c r="U8" s="31">
        <v>331</v>
      </c>
      <c r="V8" s="32">
        <v>405</v>
      </c>
    </row>
    <row r="9" spans="1:23">
      <c r="A9" s="29" t="s">
        <v>16</v>
      </c>
      <c r="B9" s="30" t="str">
        <f t="shared" si="0"/>
        <v/>
      </c>
      <c r="C9" s="132">
        <f>E9-[1]Denmark!C9</f>
        <v>0</v>
      </c>
      <c r="D9" s="31">
        <f>F9-[1]Denmark!D9</f>
        <v>0</v>
      </c>
      <c r="E9" s="164"/>
      <c r="F9" s="31"/>
      <c r="G9" s="31"/>
      <c r="H9" s="31">
        <v>3</v>
      </c>
      <c r="I9" s="31">
        <v>10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</row>
    <row r="10" spans="1:23">
      <c r="A10" s="29" t="s">
        <v>14</v>
      </c>
      <c r="B10" s="30">
        <f t="shared" si="0"/>
        <v>0.7168674698795181</v>
      </c>
      <c r="C10" s="132">
        <f>E10-[1]Denmark!C10</f>
        <v>-199</v>
      </c>
      <c r="D10" s="31">
        <f>F10-[1]Denmark!D10</f>
        <v>-192</v>
      </c>
      <c r="E10" s="164">
        <v>285</v>
      </c>
      <c r="F10" s="31">
        <v>166</v>
      </c>
      <c r="G10" s="31">
        <v>70</v>
      </c>
      <c r="H10" s="31">
        <v>0</v>
      </c>
      <c r="I10" s="31">
        <v>0</v>
      </c>
      <c r="J10" s="31">
        <v>287</v>
      </c>
      <c r="K10" s="31">
        <v>27</v>
      </c>
      <c r="L10" s="31">
        <v>299</v>
      </c>
      <c r="M10" s="31">
        <v>238</v>
      </c>
      <c r="N10" s="31">
        <v>318</v>
      </c>
      <c r="O10" s="31">
        <v>274</v>
      </c>
      <c r="P10" s="31">
        <v>100</v>
      </c>
      <c r="Q10" s="31">
        <v>316</v>
      </c>
      <c r="R10" s="31">
        <v>337</v>
      </c>
      <c r="S10" s="31">
        <v>381</v>
      </c>
      <c r="T10" s="31">
        <v>784</v>
      </c>
      <c r="U10" s="31"/>
      <c r="V10" s="32"/>
    </row>
    <row r="11" spans="1:23">
      <c r="A11" s="29" t="s">
        <v>9</v>
      </c>
      <c r="B11" s="30" t="str">
        <f t="shared" si="0"/>
        <v/>
      </c>
      <c r="C11" s="132">
        <f>E11-[1]Denmark!C11</f>
        <v>9</v>
      </c>
      <c r="D11" s="31">
        <f>F11-[1]Denmark!D11</f>
        <v>0</v>
      </c>
      <c r="E11" s="164">
        <v>14</v>
      </c>
      <c r="F11" s="31"/>
      <c r="G11" s="31">
        <v>14</v>
      </c>
      <c r="H11" s="31">
        <v>0</v>
      </c>
      <c r="I11" s="31">
        <v>15</v>
      </c>
      <c r="J11" s="31">
        <v>14</v>
      </c>
      <c r="K11" s="31">
        <v>17</v>
      </c>
      <c r="L11" s="31"/>
      <c r="M11" s="31"/>
      <c r="N11" s="31"/>
      <c r="O11" s="31">
        <v>21</v>
      </c>
      <c r="P11" s="31">
        <v>5</v>
      </c>
      <c r="Q11" s="31">
        <v>11</v>
      </c>
      <c r="R11" s="31">
        <v>16</v>
      </c>
      <c r="S11" s="31">
        <v>34</v>
      </c>
      <c r="T11" s="31">
        <v>34</v>
      </c>
      <c r="U11" s="31"/>
      <c r="V11" s="32"/>
      <c r="W11" s="31"/>
    </row>
    <row r="12" spans="1:23">
      <c r="A12" s="29" t="s">
        <v>109</v>
      </c>
      <c r="B12" s="30">
        <f t="shared" si="0"/>
        <v>2.8023598820059004E-2</v>
      </c>
      <c r="C12" s="132">
        <f>E12-[1]Denmark!C12</f>
        <v>1394</v>
      </c>
      <c r="D12" s="31">
        <f>F12-[1]Denmark!D12</f>
        <v>1356</v>
      </c>
      <c r="E12" s="164">
        <v>1394</v>
      </c>
      <c r="F12" s="31">
        <v>1356</v>
      </c>
      <c r="G12" s="31">
        <v>1441</v>
      </c>
      <c r="H12" s="31">
        <v>180</v>
      </c>
      <c r="I12" s="31">
        <v>338</v>
      </c>
      <c r="J12" s="31">
        <v>2011</v>
      </c>
      <c r="K12" s="31">
        <v>754</v>
      </c>
      <c r="L12" s="31">
        <v>2380</v>
      </c>
      <c r="M12" s="31">
        <v>2215</v>
      </c>
      <c r="N12" s="31">
        <v>1333</v>
      </c>
      <c r="O12" s="31">
        <v>2003</v>
      </c>
      <c r="P12" s="31">
        <v>814</v>
      </c>
      <c r="Q12" s="31">
        <v>1115</v>
      </c>
      <c r="R12" s="31">
        <v>1185</v>
      </c>
      <c r="S12" s="31">
        <v>1063</v>
      </c>
      <c r="T12" s="31">
        <v>1923</v>
      </c>
      <c r="U12" s="31"/>
      <c r="V12" s="32"/>
    </row>
    <row r="13" spans="1:23">
      <c r="A13" s="29" t="s">
        <v>26</v>
      </c>
      <c r="B13" s="30">
        <f t="shared" si="0"/>
        <v>0.25</v>
      </c>
      <c r="C13" s="132">
        <f>E13-[1]Denmark!C13</f>
        <v>-1</v>
      </c>
      <c r="D13" s="31">
        <f>F13-[1]Denmark!D13</f>
        <v>-2</v>
      </c>
      <c r="E13" s="164">
        <v>10</v>
      </c>
      <c r="F13" s="31">
        <v>8</v>
      </c>
      <c r="G13" s="31">
        <v>21</v>
      </c>
      <c r="H13" s="31">
        <v>28</v>
      </c>
      <c r="I13" s="31">
        <v>0</v>
      </c>
      <c r="J13" s="31">
        <v>51</v>
      </c>
      <c r="K13" s="31">
        <v>32</v>
      </c>
      <c r="L13" s="31">
        <v>35</v>
      </c>
      <c r="M13" s="31">
        <v>22</v>
      </c>
      <c r="N13" s="31">
        <v>45</v>
      </c>
      <c r="O13" s="31">
        <v>43</v>
      </c>
      <c r="P13" s="31"/>
      <c r="Q13" s="31"/>
      <c r="R13" s="31"/>
      <c r="S13" s="31">
        <v>165</v>
      </c>
      <c r="T13" s="31">
        <v>15</v>
      </c>
      <c r="U13" s="31"/>
      <c r="V13" s="32"/>
      <c r="W13" s="31"/>
    </row>
    <row r="14" spans="1:23">
      <c r="A14" s="29" t="s">
        <v>25</v>
      </c>
      <c r="B14" s="30">
        <f t="shared" si="0"/>
        <v>0.27160493827160503</v>
      </c>
      <c r="C14" s="132">
        <f>E14-[1]Denmark!C14</f>
        <v>927</v>
      </c>
      <c r="D14" s="31">
        <f>F14-[1]Denmark!D14</f>
        <v>-15</v>
      </c>
      <c r="E14" s="164">
        <v>927</v>
      </c>
      <c r="F14" s="31">
        <v>729</v>
      </c>
      <c r="G14" s="31">
        <v>1428</v>
      </c>
      <c r="H14" s="31">
        <v>1684</v>
      </c>
      <c r="I14" s="31">
        <v>1192</v>
      </c>
      <c r="J14" s="31">
        <v>2800</v>
      </c>
      <c r="K14" s="31">
        <v>1985</v>
      </c>
      <c r="L14" s="31">
        <v>2851</v>
      </c>
      <c r="M14" s="31">
        <v>2420</v>
      </c>
      <c r="N14" s="31">
        <v>2641</v>
      </c>
      <c r="O14" s="31">
        <v>2298</v>
      </c>
      <c r="P14" s="31">
        <v>1958</v>
      </c>
      <c r="Q14" s="31">
        <v>2688</v>
      </c>
      <c r="R14" s="31">
        <v>2444</v>
      </c>
      <c r="S14" s="31">
        <v>3208</v>
      </c>
      <c r="T14" s="31">
        <v>3980</v>
      </c>
      <c r="U14" s="31">
        <v>3659</v>
      </c>
      <c r="V14" s="32">
        <v>3252</v>
      </c>
    </row>
    <row r="15" spans="1:23">
      <c r="A15" s="29" t="s">
        <v>108</v>
      </c>
      <c r="B15" s="30">
        <f t="shared" si="0"/>
        <v>0.33333333333333326</v>
      </c>
      <c r="C15" s="132">
        <f>E15-[1]Denmark!C15</f>
        <v>-53</v>
      </c>
      <c r="D15" s="31">
        <f>F15-[1]Denmark!D15</f>
        <v>-63</v>
      </c>
      <c r="E15" s="164">
        <v>36</v>
      </c>
      <c r="F15" s="31">
        <v>27</v>
      </c>
      <c r="G15" s="31">
        <v>29</v>
      </c>
      <c r="H15" s="31">
        <v>0</v>
      </c>
      <c r="I15" s="31">
        <v>66</v>
      </c>
      <c r="J15" s="31">
        <v>139</v>
      </c>
      <c r="K15" s="31">
        <v>86</v>
      </c>
      <c r="L15" s="31">
        <v>105</v>
      </c>
      <c r="M15" s="31">
        <v>196</v>
      </c>
      <c r="N15" s="31">
        <v>176</v>
      </c>
      <c r="O15" s="31">
        <v>149</v>
      </c>
      <c r="P15" s="31">
        <v>144</v>
      </c>
      <c r="Q15" s="31">
        <v>232</v>
      </c>
      <c r="R15" s="31">
        <v>169</v>
      </c>
      <c r="S15" s="31">
        <v>174</v>
      </c>
      <c r="T15" s="31">
        <v>295</v>
      </c>
      <c r="U15" s="31"/>
      <c r="V15" s="32"/>
    </row>
    <row r="16" spans="1:23">
      <c r="A16" s="29" t="s">
        <v>12</v>
      </c>
      <c r="B16" s="30" t="str">
        <f t="shared" si="0"/>
        <v/>
      </c>
      <c r="C16" s="132">
        <f>E16-[1]Denmark!C16</f>
        <v>0</v>
      </c>
      <c r="D16" s="31">
        <f>F16-[1]Denmark!D16</f>
        <v>0</v>
      </c>
      <c r="E16" s="164"/>
      <c r="F16" s="31"/>
      <c r="G16" s="31"/>
      <c r="H16" s="31"/>
      <c r="I16" s="31"/>
      <c r="J16" s="31"/>
      <c r="K16" s="31"/>
      <c r="L16" s="31"/>
      <c r="M16" s="31"/>
      <c r="N16" s="31"/>
      <c r="O16" s="31">
        <v>33</v>
      </c>
      <c r="P16" s="31">
        <v>0</v>
      </c>
      <c r="Q16" s="31"/>
      <c r="R16" s="31"/>
      <c r="S16" s="31">
        <v>42</v>
      </c>
      <c r="T16" s="31">
        <v>46</v>
      </c>
      <c r="U16" s="31"/>
      <c r="V16" s="32"/>
    </row>
    <row r="17" spans="1:22">
      <c r="A17" s="29" t="s">
        <v>34</v>
      </c>
      <c r="B17" s="30" t="str">
        <f t="shared" si="0"/>
        <v/>
      </c>
      <c r="C17" s="132">
        <f>E17-[1]Denmark!C17</f>
        <v>0</v>
      </c>
      <c r="D17" s="31">
        <f>F17-[1]Denmark!D17</f>
        <v>0</v>
      </c>
      <c r="E17" s="164"/>
      <c r="F17" s="31"/>
      <c r="G17" s="31"/>
      <c r="H17" s="31"/>
      <c r="I17" s="31">
        <v>14</v>
      </c>
      <c r="J17" s="31">
        <v>18</v>
      </c>
      <c r="K17" s="31">
        <v>0</v>
      </c>
      <c r="L17" s="31">
        <v>26</v>
      </c>
      <c r="M17" s="31">
        <v>5</v>
      </c>
      <c r="N17" s="31">
        <v>23</v>
      </c>
      <c r="O17" s="31">
        <v>22</v>
      </c>
      <c r="P17" s="31">
        <v>12</v>
      </c>
      <c r="Q17" s="31">
        <v>11</v>
      </c>
      <c r="R17" s="31"/>
      <c r="S17" s="31"/>
      <c r="T17" s="31"/>
      <c r="U17" s="31"/>
      <c r="V17" s="32"/>
    </row>
    <row r="18" spans="1:22">
      <c r="A18" s="29" t="s">
        <v>86</v>
      </c>
      <c r="B18" s="30">
        <f t="shared" si="0"/>
        <v>-0.32285714285714284</v>
      </c>
      <c r="C18" s="132">
        <f>E18-[1]Denmark!C18</f>
        <v>1411</v>
      </c>
      <c r="D18" s="31">
        <f>F18-[1]Denmark!D18</f>
        <v>1740</v>
      </c>
      <c r="E18" s="164">
        <v>2844</v>
      </c>
      <c r="F18" s="31">
        <v>4200</v>
      </c>
      <c r="G18" s="31">
        <f>2380+782</f>
        <v>3162</v>
      </c>
      <c r="H18" s="31">
        <f>1401+518</f>
        <v>1919</v>
      </c>
      <c r="I18" s="31">
        <v>1782</v>
      </c>
      <c r="J18" s="31">
        <v>2148</v>
      </c>
      <c r="K18" s="31">
        <v>1064</v>
      </c>
      <c r="L18" s="31">
        <v>1723</v>
      </c>
      <c r="M18" s="31">
        <v>1258</v>
      </c>
      <c r="N18" s="31">
        <v>1083</v>
      </c>
      <c r="O18" s="31">
        <v>1148</v>
      </c>
      <c r="P18" s="31">
        <v>929</v>
      </c>
      <c r="Q18" s="31">
        <v>515</v>
      </c>
      <c r="R18" s="31">
        <v>460</v>
      </c>
      <c r="S18" s="31">
        <v>465</v>
      </c>
      <c r="T18" s="31">
        <v>265</v>
      </c>
      <c r="U18" s="31"/>
      <c r="V18" s="32"/>
    </row>
    <row r="19" spans="1:22" ht="13.8" thickBot="1">
      <c r="A19" s="29" t="s">
        <v>5</v>
      </c>
      <c r="B19" s="30">
        <f t="shared" si="0"/>
        <v>0.48706896551724133</v>
      </c>
      <c r="C19" s="132">
        <f>E19-[1]Denmark!C19</f>
        <v>-4844</v>
      </c>
      <c r="D19" s="31">
        <f>F19-[1]Denmark!D19</f>
        <v>-4261</v>
      </c>
      <c r="E19" s="164">
        <v>345</v>
      </c>
      <c r="F19" s="31">
        <v>232</v>
      </c>
      <c r="G19" s="31">
        <f>205+11</f>
        <v>216</v>
      </c>
      <c r="H19" s="31">
        <f>140+6</f>
        <v>146</v>
      </c>
      <c r="I19" s="31">
        <v>1008</v>
      </c>
      <c r="J19" s="31">
        <v>660</v>
      </c>
      <c r="K19" s="31">
        <v>157</v>
      </c>
      <c r="L19" s="31">
        <v>419</v>
      </c>
      <c r="M19" s="31">
        <v>307</v>
      </c>
      <c r="N19" s="31">
        <v>197</v>
      </c>
      <c r="O19" s="31">
        <v>254</v>
      </c>
      <c r="P19" s="31">
        <v>218</v>
      </c>
      <c r="Q19" s="31">
        <v>294</v>
      </c>
      <c r="R19" s="31">
        <v>109</v>
      </c>
      <c r="S19" s="31">
        <v>565</v>
      </c>
      <c r="T19" s="31">
        <v>734</v>
      </c>
      <c r="U19" s="31">
        <f>1785+6</f>
        <v>1791</v>
      </c>
      <c r="V19" s="32">
        <v>1548</v>
      </c>
    </row>
    <row r="20" spans="1:22" ht="13.8" thickBot="1">
      <c r="A20" s="27" t="s">
        <v>93</v>
      </c>
      <c r="B20" s="38">
        <f t="shared" si="0"/>
        <v>-0.18444280985656492</v>
      </c>
      <c r="C20" s="133">
        <f>E20-[1]Denmark!C20</f>
        <v>-2365</v>
      </c>
      <c r="D20" s="39">
        <f>F20-[1]Denmark!D20</f>
        <v>-2741</v>
      </c>
      <c r="E20" s="163">
        <f>SUM(E2:E19)</f>
        <v>8870</v>
      </c>
      <c r="F20" s="39">
        <f>SUM(F2:F19)</f>
        <v>10876</v>
      </c>
      <c r="G20" s="143">
        <f>SUM(G2:G19)</f>
        <v>11125</v>
      </c>
      <c r="H20" s="39">
        <f>SUM(H2:H19)</f>
        <v>6675</v>
      </c>
      <c r="I20" s="39">
        <f>SUM(I2:I19)</f>
        <v>9166</v>
      </c>
      <c r="J20" s="39">
        <v>14796</v>
      </c>
      <c r="K20" s="39">
        <v>7880</v>
      </c>
      <c r="L20" s="39">
        <f>SUM(L2:L19)</f>
        <v>13556</v>
      </c>
      <c r="M20" s="39">
        <f>SUM(M2:M19)</f>
        <v>12287</v>
      </c>
      <c r="N20" s="39">
        <f>SUM(N2:N19)</f>
        <v>11281</v>
      </c>
      <c r="O20" s="39">
        <f>SUM(O2:O19)</f>
        <v>11105</v>
      </c>
      <c r="P20" s="39">
        <f>SUM(P2:P19)</f>
        <v>7794</v>
      </c>
      <c r="Q20" s="39">
        <f t="shared" ref="Q20:V20" si="1">SUM(Q2:Q19)</f>
        <v>9979</v>
      </c>
      <c r="R20" s="39">
        <f t="shared" si="1"/>
        <v>8558</v>
      </c>
      <c r="S20" s="39">
        <f t="shared" si="1"/>
        <v>10437</v>
      </c>
      <c r="T20" s="39">
        <f t="shared" si="1"/>
        <v>13336</v>
      </c>
      <c r="U20" s="39">
        <f t="shared" si="1"/>
        <v>9863</v>
      </c>
      <c r="V20" s="40">
        <f t="shared" si="1"/>
        <v>8258</v>
      </c>
    </row>
    <row r="22" spans="1:22" ht="13.8" thickBot="1"/>
    <row r="23" spans="1:22" ht="13.8" thickBot="1">
      <c r="A23" s="27" t="s">
        <v>110</v>
      </c>
      <c r="B23" s="12" t="s">
        <v>184</v>
      </c>
      <c r="C23" s="117" t="s">
        <v>185</v>
      </c>
      <c r="D23" s="42" t="s">
        <v>179</v>
      </c>
      <c r="E23" s="156">
        <v>45261</v>
      </c>
      <c r="F23" s="13">
        <v>44896</v>
      </c>
      <c r="G23" s="13">
        <v>44531</v>
      </c>
      <c r="H23" s="13">
        <v>44166</v>
      </c>
      <c r="I23" s="13">
        <v>43800</v>
      </c>
      <c r="J23" s="13">
        <v>43435</v>
      </c>
      <c r="K23" s="13">
        <v>43070</v>
      </c>
      <c r="L23" s="13">
        <v>42705</v>
      </c>
      <c r="M23" s="28">
        <f>M1</f>
        <v>42339</v>
      </c>
      <c r="N23" s="28">
        <f>N1</f>
        <v>41974</v>
      </c>
      <c r="O23" s="28">
        <v>41609</v>
      </c>
      <c r="P23" s="28">
        <v>41244</v>
      </c>
      <c r="Q23" s="28">
        <v>40878</v>
      </c>
      <c r="R23" s="28">
        <v>40513</v>
      </c>
      <c r="S23" s="28">
        <v>40148</v>
      </c>
      <c r="T23" s="28">
        <v>39783</v>
      </c>
      <c r="U23" s="28">
        <v>39417</v>
      </c>
      <c r="V23" s="44">
        <v>39052</v>
      </c>
    </row>
    <row r="24" spans="1:22">
      <c r="A24" s="29" t="s">
        <v>6</v>
      </c>
      <c r="B24" s="30">
        <f>IFERROR((E24/F24-1), "")</f>
        <v>-0.95901639344262291</v>
      </c>
      <c r="C24" s="132">
        <f>E24-[1]Denmark!C24</f>
        <v>-198</v>
      </c>
      <c r="D24" s="31">
        <f>F24-[1]Denmark!D24</f>
        <v>-194</v>
      </c>
      <c r="E24" s="164">
        <v>10</v>
      </c>
      <c r="F24" s="31">
        <v>244</v>
      </c>
      <c r="G24" s="31">
        <v>34</v>
      </c>
      <c r="H24" s="31">
        <v>102</v>
      </c>
      <c r="I24" s="31">
        <v>114</v>
      </c>
      <c r="J24" s="31">
        <v>222</v>
      </c>
      <c r="K24" s="31">
        <v>0</v>
      </c>
      <c r="L24" s="31">
        <v>108</v>
      </c>
      <c r="M24" s="31">
        <v>264</v>
      </c>
      <c r="N24" s="31">
        <v>75</v>
      </c>
      <c r="O24" s="31">
        <v>560</v>
      </c>
      <c r="P24" s="31">
        <v>35</v>
      </c>
      <c r="Q24" s="31">
        <v>252</v>
      </c>
      <c r="R24" s="31">
        <v>41</v>
      </c>
      <c r="S24" s="31">
        <v>231</v>
      </c>
      <c r="T24" s="31">
        <v>360</v>
      </c>
      <c r="U24" s="31">
        <f>B39</f>
        <v>0</v>
      </c>
      <c r="V24" s="32">
        <v>0</v>
      </c>
    </row>
    <row r="25" spans="1:22">
      <c r="A25" s="29" t="s">
        <v>151</v>
      </c>
      <c r="B25" s="30">
        <f>IFERROR((E25/F25-1), "")</f>
        <v>-0.33333333333333337</v>
      </c>
      <c r="C25" s="132">
        <f>E25-[1]Denmark!C25</f>
        <v>2</v>
      </c>
      <c r="D25" s="31">
        <f>F25-[1]Denmark!D25</f>
        <v>3</v>
      </c>
      <c r="E25" s="164">
        <v>2</v>
      </c>
      <c r="F25" s="31">
        <v>3</v>
      </c>
      <c r="G25" s="31"/>
      <c r="H25" s="31"/>
      <c r="I25" s="31"/>
      <c r="J25" s="31"/>
      <c r="K25" s="31">
        <v>0</v>
      </c>
      <c r="L25" s="31"/>
      <c r="M25" s="31"/>
      <c r="N25" s="31"/>
      <c r="O25" s="31"/>
      <c r="P25" s="31"/>
      <c r="Q25" s="31">
        <v>1</v>
      </c>
      <c r="R25" s="31">
        <v>12</v>
      </c>
      <c r="S25" s="31"/>
      <c r="T25" s="31"/>
      <c r="U25" s="31"/>
      <c r="V25" s="32"/>
    </row>
    <row r="26" spans="1:22" ht="13.8" thickBot="1">
      <c r="A26" s="33" t="s">
        <v>5</v>
      </c>
      <c r="B26" s="34">
        <f>IFERROR((E26/F26-1), "")</f>
        <v>-0.94014962593516205</v>
      </c>
      <c r="C26" s="132">
        <f>E26-[1]Denmark!C26</f>
        <v>-866</v>
      </c>
      <c r="D26" s="31">
        <f>F26-[1]Denmark!D26</f>
        <v>-461</v>
      </c>
      <c r="E26" s="164">
        <v>24</v>
      </c>
      <c r="F26" s="31">
        <v>401</v>
      </c>
      <c r="G26" s="31">
        <v>87</v>
      </c>
      <c r="H26" s="31">
        <v>15</v>
      </c>
      <c r="I26" s="31">
        <v>100</v>
      </c>
      <c r="J26" s="31"/>
      <c r="K26" s="31">
        <v>0</v>
      </c>
      <c r="L26" s="35">
        <v>78</v>
      </c>
      <c r="M26" s="35">
        <v>595</v>
      </c>
      <c r="N26" s="35">
        <v>20</v>
      </c>
      <c r="O26" s="35">
        <v>528</v>
      </c>
      <c r="P26" s="35">
        <v>63</v>
      </c>
      <c r="Q26" s="35">
        <v>91</v>
      </c>
      <c r="R26" s="35">
        <v>99</v>
      </c>
      <c r="S26" s="35">
        <f>28+346</f>
        <v>374</v>
      </c>
      <c r="T26" s="35">
        <v>65</v>
      </c>
      <c r="U26" s="35">
        <v>148</v>
      </c>
      <c r="V26" s="36">
        <v>43</v>
      </c>
    </row>
    <row r="27" spans="1:22" ht="13.8" thickBot="1">
      <c r="A27" s="37" t="s">
        <v>93</v>
      </c>
      <c r="B27" s="38">
        <f>IFERROR((E27/F27-1), "")</f>
        <v>-0.94444444444444442</v>
      </c>
      <c r="C27" s="133">
        <f>E27-[1]Denmark!C27</f>
        <v>-1062</v>
      </c>
      <c r="D27" s="39">
        <f>F27-[1]Denmark!D27</f>
        <v>-652</v>
      </c>
      <c r="E27" s="163">
        <f>SUM(E24:E26)</f>
        <v>36</v>
      </c>
      <c r="F27" s="39">
        <f>SUM(F24:F26)</f>
        <v>648</v>
      </c>
      <c r="G27" s="39">
        <f>SUM(G24:G26)</f>
        <v>121</v>
      </c>
      <c r="H27" s="39">
        <f>SUM(H24:H26)</f>
        <v>117</v>
      </c>
      <c r="I27" s="39">
        <f>SUM(I24:I26)</f>
        <v>214</v>
      </c>
      <c r="J27" s="39">
        <v>626</v>
      </c>
      <c r="K27" s="39">
        <v>0</v>
      </c>
      <c r="L27" s="39">
        <f>SUM(L24:L26)</f>
        <v>186</v>
      </c>
      <c r="M27" s="39">
        <f>SUM(M24:M26)</f>
        <v>859</v>
      </c>
      <c r="N27" s="39">
        <f>SUM(N24:N26)</f>
        <v>95</v>
      </c>
      <c r="O27" s="39">
        <f>SUM(O24:O26)</f>
        <v>1088</v>
      </c>
      <c r="P27" s="39">
        <f>SUM(P24:P26)</f>
        <v>98</v>
      </c>
      <c r="Q27" s="39">
        <f t="shared" ref="Q27:V27" si="2">SUM(Q24:Q26)</f>
        <v>344</v>
      </c>
      <c r="R27" s="39">
        <f t="shared" si="2"/>
        <v>152</v>
      </c>
      <c r="S27" s="39">
        <f t="shared" si="2"/>
        <v>605</v>
      </c>
      <c r="T27" s="39">
        <f t="shared" si="2"/>
        <v>425</v>
      </c>
      <c r="U27" s="39">
        <f t="shared" si="2"/>
        <v>148</v>
      </c>
      <c r="V27" s="40">
        <f t="shared" si="2"/>
        <v>43</v>
      </c>
    </row>
  </sheetData>
  <pageMargins left="0.75" right="0.75" top="1" bottom="1" header="0.5" footer="0.5"/>
  <pageSetup paperSize="9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8"/>
  <sheetViews>
    <sheetView zoomScaleNormal="100" workbookViewId="0"/>
  </sheetViews>
  <sheetFormatPr defaultColWidth="9.109375" defaultRowHeight="13.2"/>
  <cols>
    <col min="1" max="1" width="24.6640625" style="26" customWidth="1"/>
    <col min="2" max="2" width="10.6640625" style="26" customWidth="1"/>
    <col min="3" max="4" width="11.44140625" style="26" bestFit="1" customWidth="1"/>
    <col min="5" max="9" width="11.44140625" style="26" customWidth="1"/>
    <col min="10" max="11" width="10.6640625" style="26" customWidth="1"/>
    <col min="12" max="20" width="10.109375" style="26" bestFit="1" customWidth="1"/>
    <col min="21" max="21" width="10.6640625" style="26" customWidth="1"/>
    <col min="22" max="16384" width="9.109375" style="26"/>
  </cols>
  <sheetData>
    <row r="1" spans="1:22" ht="13.8" thickBot="1">
      <c r="A1" s="27" t="s">
        <v>23</v>
      </c>
      <c r="B1" s="12" t="s">
        <v>184</v>
      </c>
      <c r="C1" s="117" t="s">
        <v>185</v>
      </c>
      <c r="D1" s="42" t="s">
        <v>179</v>
      </c>
      <c r="E1" s="156">
        <v>45261</v>
      </c>
      <c r="F1" s="13">
        <v>44896</v>
      </c>
      <c r="G1" s="13">
        <v>44531</v>
      </c>
      <c r="H1" s="13">
        <v>44166</v>
      </c>
      <c r="I1" s="13">
        <v>43800</v>
      </c>
      <c r="J1" s="13">
        <v>43435</v>
      </c>
      <c r="K1" s="13">
        <v>43070</v>
      </c>
      <c r="L1" s="13">
        <v>42705</v>
      </c>
      <c r="M1" s="28">
        <v>42339</v>
      </c>
      <c r="N1" s="28">
        <v>41974</v>
      </c>
      <c r="O1" s="28">
        <v>41609</v>
      </c>
      <c r="P1" s="28">
        <v>41244</v>
      </c>
      <c r="Q1" s="28">
        <v>40878</v>
      </c>
      <c r="R1" s="28">
        <v>40513</v>
      </c>
      <c r="S1" s="28">
        <v>40148</v>
      </c>
      <c r="T1" s="44">
        <v>39783</v>
      </c>
    </row>
    <row r="2" spans="1:22">
      <c r="A2" s="29" t="s">
        <v>111</v>
      </c>
      <c r="B2" s="78">
        <f t="shared" ref="B2:B26" si="0">IFERROR((E2/F2-1), "")</f>
        <v>-0.25651327002678359</v>
      </c>
      <c r="C2" s="136">
        <f>E2-[1]France!C2</f>
        <v>6107</v>
      </c>
      <c r="D2" s="85">
        <f>F2-[1]France!D2</f>
        <v>-896</v>
      </c>
      <c r="E2" s="162">
        <v>6107</v>
      </c>
      <c r="F2" s="85">
        <v>8214</v>
      </c>
      <c r="G2" s="85">
        <v>6439</v>
      </c>
      <c r="H2" s="85">
        <v>9162</v>
      </c>
      <c r="I2" s="85">
        <v>7782</v>
      </c>
      <c r="J2" s="85">
        <v>9401</v>
      </c>
      <c r="K2" s="85">
        <v>10427</v>
      </c>
      <c r="L2" s="85">
        <v>12198</v>
      </c>
      <c r="M2" s="85">
        <v>10999</v>
      </c>
      <c r="N2" s="85">
        <v>17454</v>
      </c>
      <c r="O2" s="85">
        <v>19302</v>
      </c>
      <c r="P2" s="85">
        <v>12869</v>
      </c>
      <c r="Q2" s="85">
        <v>17276</v>
      </c>
      <c r="R2" s="85">
        <v>20048</v>
      </c>
      <c r="S2" s="85">
        <v>15017</v>
      </c>
      <c r="T2" s="83">
        <v>7352</v>
      </c>
    </row>
    <row r="3" spans="1:22">
      <c r="A3" s="29" t="s">
        <v>112</v>
      </c>
      <c r="B3" s="78">
        <f t="shared" si="0"/>
        <v>0.28268772721574531</v>
      </c>
      <c r="C3" s="136">
        <f>E3-[1]France!C3</f>
        <v>30696</v>
      </c>
      <c r="D3" s="85">
        <f>F3-[1]France!D3</f>
        <v>-5035</v>
      </c>
      <c r="E3" s="162">
        <v>30696</v>
      </c>
      <c r="F3" s="85">
        <v>23931</v>
      </c>
      <c r="G3" s="85">
        <v>29207</v>
      </c>
      <c r="H3" s="85">
        <v>25895</v>
      </c>
      <c r="I3" s="85">
        <v>28012</v>
      </c>
      <c r="J3" s="85">
        <v>26643</v>
      </c>
      <c r="K3" s="85">
        <v>22342</v>
      </c>
      <c r="L3" s="85">
        <v>21754</v>
      </c>
      <c r="M3" s="85">
        <v>23920</v>
      </c>
      <c r="N3" s="85">
        <v>20767</v>
      </c>
      <c r="O3" s="85">
        <v>22917</v>
      </c>
      <c r="P3" s="85">
        <v>15578</v>
      </c>
      <c r="Q3" s="85">
        <v>19886</v>
      </c>
      <c r="R3" s="85">
        <v>17848</v>
      </c>
      <c r="S3" s="85">
        <v>18252</v>
      </c>
      <c r="T3" s="83">
        <v>14530</v>
      </c>
    </row>
    <row r="4" spans="1:22">
      <c r="A4" s="29" t="s">
        <v>3</v>
      </c>
      <c r="B4" s="78">
        <f t="shared" si="0"/>
        <v>-0.49880095923261392</v>
      </c>
      <c r="C4" s="136">
        <f>E4-[1]France!C4</f>
        <v>2090</v>
      </c>
      <c r="D4" s="85">
        <f>F4-[1]France!D4</f>
        <v>-842</v>
      </c>
      <c r="E4" s="162">
        <v>2090</v>
      </c>
      <c r="F4" s="85">
        <v>4170</v>
      </c>
      <c r="G4" s="85">
        <v>3995</v>
      </c>
      <c r="H4" s="85">
        <v>2605</v>
      </c>
      <c r="I4" s="85">
        <v>2173</v>
      </c>
      <c r="J4" s="85">
        <v>3230</v>
      </c>
      <c r="K4" s="85">
        <v>1552</v>
      </c>
      <c r="L4" s="85">
        <v>4921</v>
      </c>
      <c r="M4" s="31">
        <v>3182</v>
      </c>
      <c r="N4" s="31">
        <v>1894</v>
      </c>
      <c r="O4" s="31">
        <v>3294</v>
      </c>
      <c r="P4" s="31">
        <v>1042</v>
      </c>
      <c r="Q4" s="31">
        <v>4793</v>
      </c>
      <c r="R4" s="31">
        <v>4289</v>
      </c>
      <c r="S4" s="31">
        <v>7001</v>
      </c>
      <c r="T4" s="32">
        <v>5188</v>
      </c>
    </row>
    <row r="5" spans="1:22">
      <c r="A5" s="29" t="s">
        <v>10</v>
      </c>
      <c r="B5" s="78">
        <f t="shared" si="0"/>
        <v>1.5484014704244098E-2</v>
      </c>
      <c r="C5" s="136">
        <f>E5-[1]France!C5</f>
        <v>18232</v>
      </c>
      <c r="D5" s="85">
        <f>F5-[1]France!D5</f>
        <v>-2807</v>
      </c>
      <c r="E5" s="162">
        <v>18232</v>
      </c>
      <c r="F5" s="85">
        <v>17954</v>
      </c>
      <c r="G5" s="85">
        <v>20710</v>
      </c>
      <c r="H5" s="85">
        <v>21483</v>
      </c>
      <c r="I5" s="85">
        <v>32345</v>
      </c>
      <c r="J5" s="85">
        <v>24874</v>
      </c>
      <c r="K5" s="85">
        <v>26644</v>
      </c>
      <c r="L5" s="85">
        <v>30093</v>
      </c>
      <c r="M5" s="31">
        <v>34708</v>
      </c>
      <c r="N5" s="31">
        <v>27964</v>
      </c>
      <c r="O5" s="31">
        <v>40523</v>
      </c>
      <c r="P5" s="31">
        <v>20678</v>
      </c>
      <c r="Q5" s="31">
        <v>51118</v>
      </c>
      <c r="R5" s="31">
        <v>48398</v>
      </c>
      <c r="S5" s="31">
        <v>60624</v>
      </c>
      <c r="T5" s="32">
        <v>44051</v>
      </c>
    </row>
    <row r="6" spans="1:22">
      <c r="A6" s="29" t="s">
        <v>28</v>
      </c>
      <c r="B6" s="78" t="str">
        <f t="shared" si="0"/>
        <v/>
      </c>
      <c r="C6" s="136">
        <f>E6-[1]France!C6</f>
        <v>0</v>
      </c>
      <c r="D6" s="85">
        <f>F6-[1]France!D6</f>
        <v>0</v>
      </c>
      <c r="E6" s="162"/>
      <c r="F6" s="85"/>
      <c r="G6" s="85"/>
      <c r="H6" s="85"/>
      <c r="I6" s="85"/>
      <c r="J6" s="85"/>
      <c r="K6" s="85"/>
      <c r="L6" s="85"/>
      <c r="M6" s="31"/>
      <c r="N6" s="31"/>
      <c r="O6" s="31"/>
      <c r="P6" s="31"/>
      <c r="Q6" s="31">
        <v>1953</v>
      </c>
      <c r="R6" s="31">
        <v>2493</v>
      </c>
      <c r="S6" s="31">
        <v>4359</v>
      </c>
      <c r="T6" s="32">
        <v>3802</v>
      </c>
    </row>
    <row r="7" spans="1:22">
      <c r="A7" s="29" t="s">
        <v>143</v>
      </c>
      <c r="B7" s="78">
        <f t="shared" si="0"/>
        <v>0.58336498290922911</v>
      </c>
      <c r="C7" s="136">
        <f>E7-[1]France!C7</f>
        <v>8338</v>
      </c>
      <c r="D7" s="85">
        <f>F7-[1]France!D7</f>
        <v>-817</v>
      </c>
      <c r="E7" s="162">
        <v>8338</v>
      </c>
      <c r="F7" s="85">
        <v>5266</v>
      </c>
      <c r="G7" s="85">
        <v>5367</v>
      </c>
      <c r="H7" s="85">
        <v>3306</v>
      </c>
      <c r="I7" s="85">
        <v>3854</v>
      </c>
      <c r="J7" s="85">
        <v>4433</v>
      </c>
      <c r="K7" s="85">
        <v>3595</v>
      </c>
      <c r="L7" s="85">
        <v>4048</v>
      </c>
      <c r="M7" s="31">
        <v>3798</v>
      </c>
      <c r="N7" s="31">
        <v>2379</v>
      </c>
      <c r="O7" s="31">
        <v>1282</v>
      </c>
      <c r="P7" s="31">
        <v>1324</v>
      </c>
      <c r="Q7" s="31">
        <v>2445</v>
      </c>
      <c r="R7" s="31">
        <v>1705</v>
      </c>
      <c r="S7" s="31"/>
      <c r="T7" s="32"/>
    </row>
    <row r="8" spans="1:22">
      <c r="A8" s="29" t="s">
        <v>60</v>
      </c>
      <c r="B8" s="78">
        <f t="shared" si="0"/>
        <v>2.29056910230514E-2</v>
      </c>
      <c r="C8" s="136">
        <f>E8-[1]France!C8</f>
        <v>147369</v>
      </c>
      <c r="D8" s="85">
        <f>F8-[1]France!D8</f>
        <v>-9356</v>
      </c>
      <c r="E8" s="162">
        <v>147369</v>
      </c>
      <c r="F8" s="85">
        <v>144069</v>
      </c>
      <c r="G8" s="85">
        <v>109252</v>
      </c>
      <c r="H8" s="85">
        <v>124759</v>
      </c>
      <c r="I8" s="85">
        <v>131237</v>
      </c>
      <c r="J8" s="85">
        <v>114353</v>
      </c>
      <c r="K8" s="85">
        <v>93225</v>
      </c>
      <c r="L8" s="85">
        <v>90213</v>
      </c>
      <c r="M8" s="31">
        <v>96768</v>
      </c>
      <c r="N8" s="31">
        <v>88404</v>
      </c>
      <c r="O8" s="31">
        <v>76196</v>
      </c>
      <c r="P8" s="31">
        <v>61681</v>
      </c>
      <c r="Q8" s="31">
        <v>66832</v>
      </c>
      <c r="R8" s="31">
        <v>58557</v>
      </c>
      <c r="S8" s="31">
        <v>49162</v>
      </c>
      <c r="T8" s="32">
        <v>31289</v>
      </c>
    </row>
    <row r="9" spans="1:22">
      <c r="A9" s="29" t="s">
        <v>1</v>
      </c>
      <c r="B9" s="78">
        <f t="shared" si="0"/>
        <v>-8.564814814814814E-2</v>
      </c>
      <c r="C9" s="136">
        <f>E9-[1]France!C9</f>
        <v>1975</v>
      </c>
      <c r="D9" s="85">
        <f>F9-[1]France!D9</f>
        <v>-3065</v>
      </c>
      <c r="E9" s="162">
        <v>1975</v>
      </c>
      <c r="F9" s="85">
        <v>2160</v>
      </c>
      <c r="G9" s="85">
        <v>3051</v>
      </c>
      <c r="H9" s="85">
        <v>990</v>
      </c>
      <c r="I9" s="85">
        <v>2810</v>
      </c>
      <c r="J9" s="85">
        <v>3011</v>
      </c>
      <c r="K9" s="85">
        <v>2267</v>
      </c>
      <c r="L9" s="85">
        <v>2215</v>
      </c>
      <c r="M9" s="31">
        <v>1498</v>
      </c>
      <c r="N9" s="31">
        <v>1147</v>
      </c>
      <c r="O9" s="31">
        <v>1213</v>
      </c>
      <c r="P9" s="31">
        <v>803</v>
      </c>
      <c r="Q9" s="31">
        <v>1577</v>
      </c>
      <c r="R9" s="31">
        <v>1097</v>
      </c>
      <c r="S9" s="31">
        <v>2509</v>
      </c>
      <c r="T9" s="32">
        <v>1017</v>
      </c>
    </row>
    <row r="10" spans="1:22">
      <c r="A10" s="29" t="s">
        <v>11</v>
      </c>
      <c r="B10" s="78">
        <f t="shared" si="0"/>
        <v>0.32710679404387033</v>
      </c>
      <c r="C10" s="136">
        <f>E10-[1]France!C10</f>
        <v>24866</v>
      </c>
      <c r="D10" s="85">
        <f>F10-[1]France!D10</f>
        <v>-7576</v>
      </c>
      <c r="E10" s="162">
        <v>24866</v>
      </c>
      <c r="F10" s="85">
        <v>18737</v>
      </c>
      <c r="G10" s="85">
        <v>29794</v>
      </c>
      <c r="H10" s="85">
        <v>23689</v>
      </c>
      <c r="I10" s="85">
        <v>33435</v>
      </c>
      <c r="J10" s="85">
        <v>16479</v>
      </c>
      <c r="K10" s="85">
        <v>24125</v>
      </c>
      <c r="L10" s="85">
        <v>20606</v>
      </c>
      <c r="M10" s="31">
        <v>23595</v>
      </c>
      <c r="N10" s="31">
        <v>16581</v>
      </c>
      <c r="O10" s="31">
        <v>27178</v>
      </c>
      <c r="P10" s="31">
        <v>15652</v>
      </c>
      <c r="Q10" s="31">
        <v>20879</v>
      </c>
      <c r="R10" s="31">
        <v>23496</v>
      </c>
      <c r="S10" s="31">
        <v>23214</v>
      </c>
      <c r="T10" s="32">
        <v>19132</v>
      </c>
    </row>
    <row r="11" spans="1:22">
      <c r="A11" s="29" t="s">
        <v>8</v>
      </c>
      <c r="B11" s="78">
        <f t="shared" si="0"/>
        <v>-0.1558607182710483</v>
      </c>
      <c r="C11" s="136">
        <f>E11-[1]France!C11</f>
        <v>74134</v>
      </c>
      <c r="D11" s="85">
        <f>F11-[1]France!D11</f>
        <v>-32647</v>
      </c>
      <c r="E11" s="162">
        <v>74134</v>
      </c>
      <c r="F11" s="85">
        <v>87822</v>
      </c>
      <c r="G11" s="85">
        <v>122380</v>
      </c>
      <c r="H11" s="85">
        <v>117781</v>
      </c>
      <c r="I11" s="85">
        <v>127352</v>
      </c>
      <c r="J11" s="85">
        <v>106225</v>
      </c>
      <c r="K11" s="85">
        <v>91844</v>
      </c>
      <c r="L11" s="85">
        <v>82707</v>
      </c>
      <c r="M11" s="31">
        <v>76900</v>
      </c>
      <c r="N11" s="31">
        <v>66640</v>
      </c>
      <c r="O11" s="31">
        <v>68883</v>
      </c>
      <c r="P11" s="31">
        <v>51509</v>
      </c>
      <c r="Q11" s="31">
        <v>69218</v>
      </c>
      <c r="R11" s="31">
        <v>76262</v>
      </c>
      <c r="S11" s="31">
        <v>70940</v>
      </c>
      <c r="T11" s="32">
        <v>63876</v>
      </c>
    </row>
    <row r="12" spans="1:22">
      <c r="A12" s="29" t="s">
        <v>2</v>
      </c>
      <c r="B12" s="78">
        <f t="shared" si="0"/>
        <v>0.21556860374751752</v>
      </c>
      <c r="C12" s="136">
        <f>E12-[1]France!C12</f>
        <v>168930</v>
      </c>
      <c r="D12" s="85">
        <f>F12-[1]France!D12</f>
        <v>-13329</v>
      </c>
      <c r="E12" s="162">
        <v>168930</v>
      </c>
      <c r="F12" s="85">
        <v>138972</v>
      </c>
      <c r="G12" s="85">
        <v>161238</v>
      </c>
      <c r="H12" s="85">
        <v>133850</v>
      </c>
      <c r="I12" s="85">
        <v>210654</v>
      </c>
      <c r="J12" s="85">
        <v>184948</v>
      </c>
      <c r="K12" s="85">
        <v>188015</v>
      </c>
      <c r="L12" s="85">
        <v>207531</v>
      </c>
      <c r="M12" s="31">
        <v>217415</v>
      </c>
      <c r="N12" s="31">
        <v>205989</v>
      </c>
      <c r="O12" s="31">
        <v>241241</v>
      </c>
      <c r="P12" s="31">
        <v>128164</v>
      </c>
      <c r="Q12" s="31">
        <v>227932</v>
      </c>
      <c r="R12" s="31">
        <v>229225</v>
      </c>
      <c r="S12" s="31">
        <v>250176</v>
      </c>
      <c r="T12" s="32">
        <v>175643</v>
      </c>
      <c r="V12" s="31"/>
    </row>
    <row r="13" spans="1:22">
      <c r="A13" s="29" t="s">
        <v>113</v>
      </c>
      <c r="B13" s="78">
        <f t="shared" si="0"/>
        <v>0.12762571610439211</v>
      </c>
      <c r="C13" s="136">
        <f>E13-[1]France!C13</f>
        <v>3543</v>
      </c>
      <c r="D13" s="85">
        <f>F13-[1]France!D13</f>
        <v>-10</v>
      </c>
      <c r="E13" s="162">
        <v>3543</v>
      </c>
      <c r="F13" s="85">
        <v>3142</v>
      </c>
      <c r="G13" s="85">
        <v>3850</v>
      </c>
      <c r="H13" s="85">
        <v>2846</v>
      </c>
      <c r="I13" s="85">
        <v>3221</v>
      </c>
      <c r="J13" s="85">
        <v>2528</v>
      </c>
      <c r="K13" s="85">
        <v>2500</v>
      </c>
      <c r="L13" s="85">
        <v>2145</v>
      </c>
      <c r="M13" s="31">
        <v>1939</v>
      </c>
      <c r="N13" s="31">
        <v>1910</v>
      </c>
      <c r="O13" s="31">
        <v>3137</v>
      </c>
      <c r="P13" s="31">
        <v>1887</v>
      </c>
      <c r="Q13" s="31">
        <v>3338</v>
      </c>
      <c r="R13" s="31">
        <v>3412</v>
      </c>
      <c r="S13" s="31">
        <v>1697</v>
      </c>
      <c r="T13" s="32">
        <v>480</v>
      </c>
      <c r="V13" s="31"/>
    </row>
    <row r="14" spans="1:22">
      <c r="A14" s="29" t="s">
        <v>16</v>
      </c>
      <c r="B14" s="78">
        <f t="shared" si="0"/>
        <v>-0.12927989943732787</v>
      </c>
      <c r="C14" s="136">
        <f>E14-[1]France!C14</f>
        <v>58185</v>
      </c>
      <c r="D14" s="85">
        <f>F14-[1]France!D14</f>
        <v>-9279</v>
      </c>
      <c r="E14" s="162">
        <v>58185</v>
      </c>
      <c r="F14" s="85">
        <v>66824</v>
      </c>
      <c r="G14" s="85">
        <v>72286</v>
      </c>
      <c r="H14" s="85">
        <v>73525</v>
      </c>
      <c r="I14" s="85">
        <v>77198</v>
      </c>
      <c r="J14" s="85">
        <v>67881</v>
      </c>
      <c r="K14" s="85">
        <v>79486</v>
      </c>
      <c r="L14" s="85">
        <v>63210</v>
      </c>
      <c r="M14" s="31">
        <v>86236</v>
      </c>
      <c r="N14" s="31">
        <v>67711</v>
      </c>
      <c r="O14" s="31">
        <v>87364</v>
      </c>
      <c r="P14" s="31">
        <v>56604</v>
      </c>
      <c r="Q14" s="31">
        <v>88109</v>
      </c>
      <c r="R14" s="31">
        <v>77233</v>
      </c>
      <c r="S14" s="31">
        <v>76506</v>
      </c>
      <c r="T14" s="32">
        <v>74493</v>
      </c>
      <c r="V14" s="31"/>
    </row>
    <row r="15" spans="1:22">
      <c r="A15" s="29" t="s">
        <v>114</v>
      </c>
      <c r="B15" s="78">
        <f t="shared" si="0"/>
        <v>-4.4799639801891056E-2</v>
      </c>
      <c r="C15" s="136">
        <f>E15-[1]France!C15</f>
        <v>8486</v>
      </c>
      <c r="D15" s="85">
        <f>F15-[1]France!D15</f>
        <v>-2246</v>
      </c>
      <c r="E15" s="162">
        <v>8486</v>
      </c>
      <c r="F15" s="85">
        <v>8884</v>
      </c>
      <c r="G15" s="85">
        <v>10446</v>
      </c>
      <c r="H15" s="85">
        <v>3214</v>
      </c>
      <c r="I15" s="85">
        <v>8612</v>
      </c>
      <c r="J15" s="85">
        <v>6659</v>
      </c>
      <c r="K15" s="85">
        <v>5996</v>
      </c>
      <c r="L15" s="85">
        <v>6744</v>
      </c>
      <c r="M15" s="31">
        <v>5888</v>
      </c>
      <c r="N15" s="31">
        <v>9241</v>
      </c>
      <c r="O15" s="31">
        <v>8798</v>
      </c>
      <c r="P15" s="31">
        <v>4578</v>
      </c>
      <c r="Q15" s="31">
        <v>2407</v>
      </c>
      <c r="R15" s="31">
        <v>5350</v>
      </c>
      <c r="S15" s="31">
        <v>666</v>
      </c>
      <c r="T15" s="32">
        <v>6452</v>
      </c>
    </row>
    <row r="16" spans="1:22">
      <c r="A16" s="29" t="s">
        <v>9</v>
      </c>
      <c r="B16" s="78" t="str">
        <f t="shared" si="0"/>
        <v/>
      </c>
      <c r="C16" s="136">
        <f>E16-[1]France!C16</f>
        <v>0</v>
      </c>
      <c r="D16" s="85">
        <f>F16-[1]France!D16</f>
        <v>-1942</v>
      </c>
      <c r="E16" s="162"/>
      <c r="F16" s="85"/>
      <c r="G16" s="85">
        <v>593</v>
      </c>
      <c r="H16" s="85">
        <v>1244</v>
      </c>
      <c r="I16" s="85">
        <v>1539</v>
      </c>
      <c r="J16" s="85">
        <v>1333</v>
      </c>
      <c r="K16" s="85">
        <v>1158</v>
      </c>
      <c r="L16" s="85">
        <v>1112</v>
      </c>
      <c r="M16" s="31">
        <v>1054</v>
      </c>
      <c r="N16" s="31">
        <v>983</v>
      </c>
      <c r="O16" s="31">
        <v>1966</v>
      </c>
      <c r="P16" s="31">
        <v>991</v>
      </c>
      <c r="Q16" s="31">
        <v>1868</v>
      </c>
      <c r="R16" s="31">
        <v>1523</v>
      </c>
      <c r="S16" s="31">
        <v>2181</v>
      </c>
      <c r="T16" s="32">
        <v>1894</v>
      </c>
      <c r="U16" s="31"/>
    </row>
    <row r="17" spans="1:21">
      <c r="A17" s="29" t="s">
        <v>115</v>
      </c>
      <c r="B17" s="78">
        <f t="shared" si="0"/>
        <v>-3.2972190714593008E-2</v>
      </c>
      <c r="C17" s="136">
        <f>E17-[1]France!C17</f>
        <v>24724</v>
      </c>
      <c r="D17" s="85">
        <f>F17-[1]France!D17</f>
        <v>-2445</v>
      </c>
      <c r="E17" s="162">
        <v>24724</v>
      </c>
      <c r="F17" s="85">
        <v>25567</v>
      </c>
      <c r="G17" s="85">
        <v>29346</v>
      </c>
      <c r="H17" s="85">
        <v>22552</v>
      </c>
      <c r="I17" s="85">
        <v>22929</v>
      </c>
      <c r="J17" s="85">
        <v>17619</v>
      </c>
      <c r="K17" s="85">
        <v>15173</v>
      </c>
      <c r="L17" s="85">
        <v>9449</v>
      </c>
      <c r="M17" s="31">
        <v>13064</v>
      </c>
      <c r="N17" s="31">
        <v>10002</v>
      </c>
      <c r="O17" s="31">
        <v>9837</v>
      </c>
      <c r="P17" s="31">
        <v>6611</v>
      </c>
      <c r="Q17" s="31">
        <v>9634</v>
      </c>
      <c r="R17" s="31">
        <v>8438</v>
      </c>
      <c r="S17" s="31">
        <v>7865</v>
      </c>
      <c r="T17" s="32">
        <v>4873</v>
      </c>
      <c r="U17" s="31"/>
    </row>
    <row r="18" spans="1:21">
      <c r="A18" s="29" t="s">
        <v>26</v>
      </c>
      <c r="B18" s="78">
        <f t="shared" si="0"/>
        <v>0.1977364475201846</v>
      </c>
      <c r="C18" s="136">
        <f>E18-[1]France!C18</f>
        <v>16615</v>
      </c>
      <c r="D18" s="85">
        <f>F18-[1]France!D18</f>
        <v>-2413</v>
      </c>
      <c r="E18" s="162">
        <v>16615</v>
      </c>
      <c r="F18" s="85">
        <v>13872</v>
      </c>
      <c r="G18" s="85">
        <v>17432</v>
      </c>
      <c r="H18" s="85">
        <v>12018</v>
      </c>
      <c r="I18" s="85">
        <v>13704</v>
      </c>
      <c r="J18" s="85">
        <v>13208</v>
      </c>
      <c r="K18" s="85">
        <v>10721</v>
      </c>
      <c r="L18" s="85">
        <v>9979</v>
      </c>
      <c r="M18" s="31">
        <v>9043</v>
      </c>
      <c r="N18" s="31">
        <v>4612</v>
      </c>
      <c r="O18" s="31">
        <v>6625</v>
      </c>
      <c r="P18" s="31">
        <v>2663</v>
      </c>
      <c r="Q18" s="31">
        <v>6311</v>
      </c>
      <c r="R18" s="31">
        <v>7244</v>
      </c>
      <c r="S18" s="31">
        <v>10464</v>
      </c>
      <c r="T18" s="32">
        <v>8322</v>
      </c>
      <c r="U18" s="31"/>
    </row>
    <row r="19" spans="1:21">
      <c r="A19" s="29" t="s">
        <v>117</v>
      </c>
      <c r="B19" s="78">
        <f t="shared" si="0"/>
        <v>-0.27236580516898612</v>
      </c>
      <c r="C19" s="136">
        <f>E19-[1]France!C19</f>
        <v>366</v>
      </c>
      <c r="D19" s="85">
        <f>F19-[1]France!D19</f>
        <v>-18008</v>
      </c>
      <c r="E19" s="162">
        <v>366</v>
      </c>
      <c r="F19" s="85">
        <v>503</v>
      </c>
      <c r="G19" s="85">
        <v>169</v>
      </c>
      <c r="H19" s="85">
        <v>609</v>
      </c>
      <c r="I19" s="85">
        <v>1251</v>
      </c>
      <c r="J19" s="85">
        <v>554</v>
      </c>
      <c r="K19" s="85">
        <v>267</v>
      </c>
      <c r="L19" s="85">
        <v>663</v>
      </c>
      <c r="M19" s="31">
        <v>796</v>
      </c>
      <c r="N19" s="31">
        <v>341</v>
      </c>
      <c r="O19" s="31">
        <v>609</v>
      </c>
      <c r="P19" s="31">
        <v>281</v>
      </c>
      <c r="Q19" s="31">
        <v>1326</v>
      </c>
      <c r="R19" s="31">
        <v>396</v>
      </c>
      <c r="S19" s="31">
        <v>1761</v>
      </c>
      <c r="T19" s="32">
        <v>630</v>
      </c>
    </row>
    <row r="20" spans="1:21">
      <c r="A20" s="29" t="s">
        <v>87</v>
      </c>
      <c r="B20" s="78">
        <f t="shared" si="0"/>
        <v>0.33606972167556926</v>
      </c>
      <c r="C20" s="136">
        <f>E20-[1]France!C20</f>
        <v>23762</v>
      </c>
      <c r="D20" s="85">
        <f>F20-[1]France!D20</f>
        <v>15646</v>
      </c>
      <c r="E20" s="162">
        <v>23762</v>
      </c>
      <c r="F20" s="85">
        <v>17785</v>
      </c>
      <c r="G20" s="85">
        <v>19293</v>
      </c>
      <c r="H20" s="85">
        <v>16162</v>
      </c>
      <c r="I20" s="85">
        <v>17116</v>
      </c>
      <c r="J20" s="85">
        <v>15547</v>
      </c>
      <c r="K20" s="85">
        <v>15163</v>
      </c>
      <c r="L20" s="85">
        <v>14055</v>
      </c>
      <c r="M20" s="31">
        <v>14014</v>
      </c>
      <c r="N20" s="31">
        <v>12315</v>
      </c>
      <c r="O20" s="31">
        <v>16966</v>
      </c>
      <c r="P20" s="31">
        <v>5128</v>
      </c>
      <c r="Q20" s="31">
        <v>16425</v>
      </c>
      <c r="R20" s="31">
        <v>14157</v>
      </c>
      <c r="S20" s="31">
        <v>14410</v>
      </c>
      <c r="T20" s="32">
        <v>13700</v>
      </c>
    </row>
    <row r="21" spans="1:21">
      <c r="A21" s="29" t="s">
        <v>116</v>
      </c>
      <c r="B21" s="78">
        <f t="shared" si="0"/>
        <v>-0.27581863979848864</v>
      </c>
      <c r="C21" s="136">
        <f>E21-[1]France!C21</f>
        <v>10350</v>
      </c>
      <c r="D21" s="85">
        <f>F21-[1]France!D21</f>
        <v>-6671</v>
      </c>
      <c r="E21" s="162">
        <v>10350</v>
      </c>
      <c r="F21" s="85">
        <v>14292</v>
      </c>
      <c r="G21" s="85">
        <v>16855</v>
      </c>
      <c r="H21" s="85">
        <v>18295</v>
      </c>
      <c r="I21" s="85">
        <v>27553</v>
      </c>
      <c r="J21" s="85">
        <v>18478</v>
      </c>
      <c r="K21" s="85">
        <v>20350</v>
      </c>
      <c r="L21" s="85">
        <v>17496</v>
      </c>
      <c r="M21" s="31">
        <v>17830</v>
      </c>
      <c r="N21" s="31">
        <v>15068</v>
      </c>
      <c r="O21" s="31">
        <v>22006</v>
      </c>
      <c r="P21" s="31">
        <v>10028</v>
      </c>
      <c r="Q21" s="31">
        <v>19562</v>
      </c>
      <c r="R21" s="31">
        <v>19536</v>
      </c>
      <c r="S21" s="31">
        <v>23231</v>
      </c>
      <c r="T21" s="32">
        <v>16164</v>
      </c>
    </row>
    <row r="22" spans="1:21">
      <c r="A22" s="29" t="s">
        <v>102</v>
      </c>
      <c r="B22" s="78" t="str">
        <f t="shared" si="0"/>
        <v/>
      </c>
      <c r="C22" s="136">
        <f>E22-[1]France!C22</f>
        <v>0</v>
      </c>
      <c r="D22" s="85">
        <f>F22-[1]France!D22</f>
        <v>-1654</v>
      </c>
      <c r="E22" s="162"/>
      <c r="F22" s="85"/>
      <c r="G22" s="85">
        <v>420</v>
      </c>
      <c r="H22" s="85">
        <v>982</v>
      </c>
      <c r="I22" s="85">
        <v>1610</v>
      </c>
      <c r="J22" s="85">
        <v>1476</v>
      </c>
      <c r="K22" s="85">
        <v>838</v>
      </c>
      <c r="L22" s="85">
        <v>998</v>
      </c>
      <c r="M22" s="31">
        <v>1654</v>
      </c>
      <c r="N22" s="31">
        <v>1112</v>
      </c>
      <c r="O22" s="31">
        <v>2016</v>
      </c>
      <c r="P22" s="31">
        <v>952</v>
      </c>
      <c r="Q22" s="31">
        <v>1845</v>
      </c>
      <c r="R22" s="31">
        <v>1371</v>
      </c>
      <c r="S22" s="31">
        <v>2650</v>
      </c>
      <c r="T22" s="32">
        <v>616</v>
      </c>
    </row>
    <row r="23" spans="1:21">
      <c r="A23" s="29" t="s">
        <v>118</v>
      </c>
      <c r="B23" s="78" t="str">
        <f t="shared" si="0"/>
        <v/>
      </c>
      <c r="C23" s="136">
        <f>E23-[1]France!C23</f>
        <v>0</v>
      </c>
      <c r="D23" s="85">
        <f>F23-[1]France!D23</f>
        <v>-12465</v>
      </c>
      <c r="E23" s="162"/>
      <c r="F23" s="85"/>
      <c r="G23" s="85">
        <v>11561</v>
      </c>
      <c r="H23" s="85">
        <v>10456</v>
      </c>
      <c r="I23" s="85">
        <v>10342</v>
      </c>
      <c r="J23" s="85">
        <v>10481</v>
      </c>
      <c r="K23" s="85">
        <v>7937</v>
      </c>
      <c r="L23" s="85">
        <v>5787</v>
      </c>
      <c r="M23" s="31">
        <v>6525</v>
      </c>
      <c r="N23" s="31">
        <v>7881</v>
      </c>
      <c r="O23" s="31">
        <v>6617</v>
      </c>
      <c r="P23" s="31">
        <v>6002</v>
      </c>
      <c r="Q23" s="31">
        <v>5791</v>
      </c>
      <c r="R23" s="31">
        <v>7386</v>
      </c>
      <c r="S23" s="31">
        <v>1769</v>
      </c>
      <c r="T23" s="32">
        <v>2634</v>
      </c>
    </row>
    <row r="24" spans="1:21">
      <c r="A24" s="29" t="s">
        <v>119</v>
      </c>
      <c r="B24" s="78">
        <f t="shared" si="0"/>
        <v>-0.15445462114904251</v>
      </c>
      <c r="C24" s="136">
        <f>E24-[1]France!C24</f>
        <v>2031</v>
      </c>
      <c r="D24" s="85">
        <f>F24-[1]France!D24</f>
        <v>-545</v>
      </c>
      <c r="E24" s="162">
        <v>2031</v>
      </c>
      <c r="F24" s="85">
        <v>2402</v>
      </c>
      <c r="G24" s="85">
        <v>2646</v>
      </c>
      <c r="H24" s="85">
        <v>2850</v>
      </c>
      <c r="I24" s="85">
        <v>3245</v>
      </c>
      <c r="J24" s="85">
        <v>3872</v>
      </c>
      <c r="K24" s="85">
        <v>3935</v>
      </c>
      <c r="L24" s="85">
        <v>5400</v>
      </c>
      <c r="M24" s="31">
        <v>4702</v>
      </c>
      <c r="N24" s="31">
        <v>4095</v>
      </c>
      <c r="O24" s="31">
        <v>6598</v>
      </c>
      <c r="P24" s="31">
        <v>4456</v>
      </c>
      <c r="Q24" s="31">
        <v>3821</v>
      </c>
      <c r="R24" s="31">
        <v>4595</v>
      </c>
      <c r="S24" s="31">
        <v>4919</v>
      </c>
      <c r="T24" s="32">
        <v>3571</v>
      </c>
    </row>
    <row r="25" spans="1:21" ht="13.8" thickBot="1">
      <c r="A25" s="29" t="s">
        <v>5</v>
      </c>
      <c r="B25" s="78">
        <f t="shared" si="0"/>
        <v>1.5968293725945384</v>
      </c>
      <c r="C25" s="136">
        <f>E25-[1]France!C25</f>
        <v>85015</v>
      </c>
      <c r="D25" s="85">
        <f>F25-[1]France!D25</f>
        <v>12634</v>
      </c>
      <c r="E25" s="162">
        <v>85015</v>
      </c>
      <c r="F25" s="85">
        <v>32738</v>
      </c>
      <c r="G25" s="85">
        <v>16278</v>
      </c>
      <c r="H25" s="85">
        <v>22351</v>
      </c>
      <c r="I25" s="85">
        <v>15548</v>
      </c>
      <c r="J25" s="85">
        <v>11851</v>
      </c>
      <c r="K25" s="85">
        <v>7064</v>
      </c>
      <c r="L25" s="85">
        <v>5586</v>
      </c>
      <c r="M25" s="31">
        <v>4372</v>
      </c>
      <c r="N25" s="31">
        <v>4198</v>
      </c>
      <c r="O25" s="31">
        <v>9109</v>
      </c>
      <c r="P25" s="31">
        <v>6984</v>
      </c>
      <c r="Q25" s="31">
        <v>4480</v>
      </c>
      <c r="R25" s="31">
        <v>5032</v>
      </c>
      <c r="S25" s="31">
        <v>10599</v>
      </c>
      <c r="T25" s="32">
        <v>9273</v>
      </c>
    </row>
    <row r="26" spans="1:21" ht="13.8" thickBot="1">
      <c r="A26" s="27" t="s">
        <v>93</v>
      </c>
      <c r="B26" s="145">
        <f t="shared" si="0"/>
        <v>0.12319081631372164</v>
      </c>
      <c r="C26" s="146">
        <f>E26-[1]France!C26</f>
        <v>715814</v>
      </c>
      <c r="D26" s="127">
        <f>F26-[1]France!D26</f>
        <v>-105768</v>
      </c>
      <c r="E26" s="170">
        <f>SUM(E2:E25)</f>
        <v>715814</v>
      </c>
      <c r="F26" s="127">
        <f>SUM(F2:F25)</f>
        <v>637304</v>
      </c>
      <c r="G26" s="127">
        <f>SUM(G2:G25)</f>
        <v>692608</v>
      </c>
      <c r="H26" s="127">
        <f>SUM(H2:H25)</f>
        <v>650624</v>
      </c>
      <c r="I26" s="127">
        <f>SUM(I2:I25)</f>
        <v>783522</v>
      </c>
      <c r="J26" s="127"/>
      <c r="K26" s="127">
        <v>634624</v>
      </c>
      <c r="L26" s="127">
        <f>SUM(L2:L25)</f>
        <v>618910</v>
      </c>
      <c r="M26" s="127">
        <f>SUM(M2:M25)</f>
        <v>659900</v>
      </c>
      <c r="N26" s="127">
        <f>SUM(N2:N25)</f>
        <v>588688</v>
      </c>
      <c r="O26" s="127">
        <f t="shared" ref="O26:T26" si="1">SUM(O2:O25)</f>
        <v>683677</v>
      </c>
      <c r="P26" s="127">
        <f t="shared" si="1"/>
        <v>416465</v>
      </c>
      <c r="Q26" s="127">
        <f t="shared" si="1"/>
        <v>648826</v>
      </c>
      <c r="R26" s="127">
        <f t="shared" si="1"/>
        <v>639091</v>
      </c>
      <c r="S26" s="127">
        <f t="shared" si="1"/>
        <v>659972</v>
      </c>
      <c r="T26" s="147">
        <f t="shared" si="1"/>
        <v>508982</v>
      </c>
    </row>
    <row r="28" spans="1:21" ht="13.8" thickBot="1">
      <c r="A28" s="45"/>
    </row>
    <row r="29" spans="1:21" ht="13.8" thickBot="1">
      <c r="A29" s="27" t="s">
        <v>24</v>
      </c>
      <c r="B29" s="12" t="s">
        <v>184</v>
      </c>
      <c r="C29" s="117" t="s">
        <v>185</v>
      </c>
      <c r="D29" s="42" t="s">
        <v>179</v>
      </c>
      <c r="E29" s="156">
        <v>45261</v>
      </c>
      <c r="F29" s="13">
        <v>44896</v>
      </c>
      <c r="G29" s="13">
        <v>44531</v>
      </c>
      <c r="H29" s="13">
        <v>44166</v>
      </c>
      <c r="I29" s="13">
        <v>43800</v>
      </c>
      <c r="J29" s="13">
        <v>43435</v>
      </c>
      <c r="K29" s="13">
        <v>43070</v>
      </c>
      <c r="L29" s="13">
        <v>42705</v>
      </c>
      <c r="M29" s="28">
        <f>M1</f>
        <v>42339</v>
      </c>
      <c r="N29" s="28">
        <f>N1</f>
        <v>41974</v>
      </c>
      <c r="O29" s="28">
        <v>41609</v>
      </c>
      <c r="P29" s="28">
        <v>41244</v>
      </c>
      <c r="Q29" s="28">
        <v>40878</v>
      </c>
      <c r="R29" s="28">
        <v>40513</v>
      </c>
      <c r="S29" s="28">
        <v>40148</v>
      </c>
      <c r="T29" s="44">
        <v>39783</v>
      </c>
    </row>
    <row r="30" spans="1:21">
      <c r="A30" s="29" t="s">
        <v>120</v>
      </c>
      <c r="B30" s="78">
        <f t="shared" ref="B30:B38" si="2">IFERROR((E30/F30-1), "")</f>
        <v>0.16709429121231567</v>
      </c>
      <c r="C30" s="136">
        <f>E30-[1]France!C30</f>
        <v>3639</v>
      </c>
      <c r="D30" s="85">
        <f>F30-[1]France!D30</f>
        <v>-742</v>
      </c>
      <c r="E30" s="162">
        <v>3639</v>
      </c>
      <c r="F30" s="85">
        <v>3118</v>
      </c>
      <c r="G30" s="85">
        <v>2801</v>
      </c>
      <c r="H30" s="85">
        <v>3439</v>
      </c>
      <c r="I30" s="85">
        <v>1818</v>
      </c>
      <c r="J30" s="85">
        <v>2056</v>
      </c>
      <c r="K30" s="85">
        <v>2414</v>
      </c>
      <c r="L30" s="85">
        <v>2653</v>
      </c>
      <c r="M30" s="85">
        <v>2428</v>
      </c>
      <c r="N30" s="85">
        <v>2343</v>
      </c>
      <c r="O30" s="85">
        <v>4036</v>
      </c>
      <c r="P30" s="85">
        <v>1439</v>
      </c>
      <c r="Q30" s="85">
        <v>3665</v>
      </c>
      <c r="S30" s="85">
        <v>3017</v>
      </c>
      <c r="T30" s="83">
        <v>1309</v>
      </c>
    </row>
    <row r="31" spans="1:21">
      <c r="A31" s="29" t="s">
        <v>121</v>
      </c>
      <c r="B31" s="78" t="str">
        <f t="shared" si="2"/>
        <v/>
      </c>
      <c r="C31" s="136">
        <f>E31-[1]France!C31</f>
        <v>0</v>
      </c>
      <c r="D31" s="85">
        <f>F31-[1]France!D31</f>
        <v>0</v>
      </c>
      <c r="E31" s="162"/>
      <c r="F31" s="85"/>
      <c r="G31" s="85"/>
      <c r="H31" s="85"/>
      <c r="I31" s="85"/>
      <c r="J31" s="85"/>
      <c r="K31" s="85"/>
      <c r="L31" s="85"/>
      <c r="M31" s="31"/>
      <c r="N31" s="31"/>
      <c r="O31" s="31"/>
      <c r="P31" s="31"/>
      <c r="Q31" s="31"/>
      <c r="R31" s="85"/>
      <c r="S31" s="85">
        <v>31</v>
      </c>
      <c r="T31" s="83">
        <v>0</v>
      </c>
    </row>
    <row r="32" spans="1:21">
      <c r="A32" s="29" t="s">
        <v>6</v>
      </c>
      <c r="B32" s="78">
        <f t="shared" si="2"/>
        <v>-5.8708030630276853E-2</v>
      </c>
      <c r="C32" s="136">
        <f>E32-[1]France!C32</f>
        <v>4794</v>
      </c>
      <c r="D32" s="85">
        <f>F32-[1]France!D32</f>
        <v>-2423</v>
      </c>
      <c r="E32" s="162">
        <v>4794</v>
      </c>
      <c r="F32" s="85">
        <v>5093</v>
      </c>
      <c r="G32" s="85">
        <v>3832</v>
      </c>
      <c r="H32" s="85">
        <v>5418</v>
      </c>
      <c r="I32" s="85">
        <v>5812</v>
      </c>
      <c r="J32" s="85">
        <v>5832</v>
      </c>
      <c r="K32" s="85">
        <v>4574</v>
      </c>
      <c r="L32" s="85">
        <v>4429</v>
      </c>
      <c r="M32" s="31">
        <v>3291</v>
      </c>
      <c r="N32" s="31">
        <v>2035</v>
      </c>
      <c r="O32" s="31">
        <v>4430</v>
      </c>
      <c r="P32" s="31">
        <v>2033</v>
      </c>
      <c r="Q32" s="31">
        <v>3967</v>
      </c>
      <c r="R32" s="31"/>
      <c r="S32" s="31">
        <v>4851</v>
      </c>
      <c r="T32" s="32">
        <v>2198</v>
      </c>
    </row>
    <row r="33" spans="1:20">
      <c r="A33" s="29" t="s">
        <v>94</v>
      </c>
      <c r="B33" s="78">
        <f t="shared" si="2"/>
        <v>-0.20934878146224534</v>
      </c>
      <c r="C33" s="136">
        <f>E33-[1]France!C33</f>
        <v>1979</v>
      </c>
      <c r="D33" s="85">
        <f>F33-[1]France!D33</f>
        <v>-272</v>
      </c>
      <c r="E33" s="162">
        <v>1979</v>
      </c>
      <c r="F33" s="85">
        <v>2503</v>
      </c>
      <c r="G33" s="85">
        <v>1334</v>
      </c>
      <c r="H33" s="85">
        <v>3114</v>
      </c>
      <c r="I33" s="85">
        <v>1799</v>
      </c>
      <c r="J33" s="85">
        <v>2964</v>
      </c>
      <c r="K33" s="85">
        <v>1976</v>
      </c>
      <c r="L33" s="85">
        <v>2012</v>
      </c>
      <c r="M33" s="31">
        <v>2041</v>
      </c>
      <c r="N33" s="31">
        <v>1662</v>
      </c>
      <c r="O33" s="31">
        <v>1489</v>
      </c>
      <c r="P33" s="31">
        <v>457</v>
      </c>
      <c r="Q33" s="31">
        <v>1769</v>
      </c>
      <c r="R33" s="31"/>
      <c r="S33" s="31">
        <v>2419</v>
      </c>
      <c r="T33" s="32">
        <v>944</v>
      </c>
    </row>
    <row r="34" spans="1:20">
      <c r="A34" s="29" t="s">
        <v>89</v>
      </c>
      <c r="B34" s="78" t="str">
        <f t="shared" si="2"/>
        <v/>
      </c>
      <c r="C34" s="136">
        <f>E34-[1]France!C34</f>
        <v>0</v>
      </c>
      <c r="D34" s="85">
        <f>F34-[1]France!D34</f>
        <v>0</v>
      </c>
      <c r="E34" s="162"/>
      <c r="F34" s="85"/>
      <c r="G34" s="85"/>
      <c r="H34" s="85"/>
      <c r="I34" s="85">
        <v>0</v>
      </c>
      <c r="J34" s="85">
        <v>0</v>
      </c>
      <c r="K34" s="85"/>
      <c r="L34" s="85"/>
      <c r="M34" s="31"/>
      <c r="N34" s="31"/>
      <c r="O34" s="31">
        <v>116</v>
      </c>
      <c r="P34" s="31"/>
      <c r="Q34" s="31"/>
      <c r="R34" s="31"/>
      <c r="S34" s="31"/>
      <c r="T34" s="32"/>
    </row>
    <row r="35" spans="1:20">
      <c r="A35" s="29" t="s">
        <v>122</v>
      </c>
      <c r="B35" s="78">
        <f t="shared" si="2"/>
        <v>-0.47066848567530695</v>
      </c>
      <c r="C35" s="136">
        <f>E35-[1]France!C35</f>
        <v>388</v>
      </c>
      <c r="D35" s="85">
        <f>F35-[1]France!D35</f>
        <v>-282</v>
      </c>
      <c r="E35" s="162">
        <v>388</v>
      </c>
      <c r="F35" s="85">
        <v>733</v>
      </c>
      <c r="G35" s="85">
        <v>243</v>
      </c>
      <c r="H35" s="85">
        <v>1485</v>
      </c>
      <c r="I35" s="85">
        <v>1068</v>
      </c>
      <c r="J35" s="85">
        <v>1215</v>
      </c>
      <c r="K35" s="85">
        <v>879</v>
      </c>
      <c r="L35" s="85">
        <v>1081</v>
      </c>
      <c r="M35" s="31">
        <v>1384</v>
      </c>
      <c r="N35" s="31">
        <v>1234</v>
      </c>
      <c r="O35" s="31">
        <v>895</v>
      </c>
      <c r="P35" s="31">
        <v>1248</v>
      </c>
      <c r="Q35" s="31">
        <v>655</v>
      </c>
      <c r="R35" s="31"/>
      <c r="S35" s="31">
        <v>1025</v>
      </c>
      <c r="T35" s="32">
        <v>836</v>
      </c>
    </row>
    <row r="36" spans="1:20">
      <c r="A36" s="29" t="s">
        <v>123</v>
      </c>
      <c r="B36" s="78">
        <f t="shared" si="2"/>
        <v>4.4285714285714288</v>
      </c>
      <c r="C36" s="136">
        <f>E36-[1]France!C36</f>
        <v>342</v>
      </c>
      <c r="D36" s="85">
        <f>F36-[1]France!D36</f>
        <v>-1785</v>
      </c>
      <c r="E36" s="162">
        <v>342</v>
      </c>
      <c r="F36" s="85">
        <v>63</v>
      </c>
      <c r="G36" s="85">
        <v>314</v>
      </c>
      <c r="H36" s="85">
        <v>2002</v>
      </c>
      <c r="I36" s="85">
        <v>3058</v>
      </c>
      <c r="J36" s="85">
        <v>845</v>
      </c>
      <c r="K36" s="85">
        <v>418</v>
      </c>
      <c r="L36" s="85">
        <v>542</v>
      </c>
      <c r="M36" s="31">
        <v>15</v>
      </c>
      <c r="N36" s="31">
        <v>28</v>
      </c>
      <c r="O36" s="31">
        <v>347</v>
      </c>
      <c r="P36" s="31"/>
      <c r="Q36" s="31">
        <v>269</v>
      </c>
      <c r="R36" s="31"/>
      <c r="S36" s="31">
        <v>301</v>
      </c>
      <c r="T36" s="32">
        <v>20</v>
      </c>
    </row>
    <row r="37" spans="1:20" ht="13.8" thickBot="1">
      <c r="A37" s="33" t="s">
        <v>5</v>
      </c>
      <c r="B37" s="79">
        <f t="shared" si="2"/>
        <v>0.70908004778972522</v>
      </c>
      <c r="C37" s="138">
        <f>E37-[1]France!C37</f>
        <v>2861</v>
      </c>
      <c r="D37" s="86">
        <f>F37-[1]France!D37</f>
        <v>-317</v>
      </c>
      <c r="E37" s="171">
        <v>2861</v>
      </c>
      <c r="F37" s="86">
        <v>1674</v>
      </c>
      <c r="G37" s="86">
        <v>1105</v>
      </c>
      <c r="H37" s="86">
        <v>1856</v>
      </c>
      <c r="I37" s="86">
        <v>1011</v>
      </c>
      <c r="J37" s="86">
        <v>753</v>
      </c>
      <c r="K37" s="86">
        <v>1551</v>
      </c>
      <c r="L37" s="86">
        <v>2048</v>
      </c>
      <c r="M37" s="35">
        <v>430</v>
      </c>
      <c r="N37" s="35">
        <v>464</v>
      </c>
      <c r="O37" s="35">
        <v>1032</v>
      </c>
      <c r="P37" s="35">
        <v>547</v>
      </c>
      <c r="Q37" s="35">
        <v>546</v>
      </c>
      <c r="R37" s="35"/>
      <c r="S37" s="35">
        <v>749</v>
      </c>
      <c r="T37" s="36">
        <v>251</v>
      </c>
    </row>
    <row r="38" spans="1:20" ht="13.8" thickBot="1">
      <c r="A38" s="27" t="s">
        <v>93</v>
      </c>
      <c r="B38" s="80">
        <f t="shared" si="2"/>
        <v>6.2120752427184511E-2</v>
      </c>
      <c r="C38" s="137">
        <f>E38-[1]France!C38</f>
        <v>14003</v>
      </c>
      <c r="D38" s="87">
        <f>F38-[1]France!D38</f>
        <v>-5821</v>
      </c>
      <c r="E38" s="172">
        <f t="shared" ref="E38:J38" si="3">SUM(E30:E37)</f>
        <v>14003</v>
      </c>
      <c r="F38" s="87">
        <f t="shared" si="3"/>
        <v>13184</v>
      </c>
      <c r="G38" s="87">
        <f t="shared" si="3"/>
        <v>9629</v>
      </c>
      <c r="H38" s="87">
        <f t="shared" si="3"/>
        <v>17314</v>
      </c>
      <c r="I38" s="87">
        <f t="shared" si="3"/>
        <v>14566</v>
      </c>
      <c r="J38" s="87">
        <f t="shared" si="3"/>
        <v>13665</v>
      </c>
      <c r="K38" s="87">
        <v>11812</v>
      </c>
      <c r="L38" s="87">
        <f t="shared" ref="L38:Q38" si="4">SUM(L30:L37)</f>
        <v>12765</v>
      </c>
      <c r="M38" s="87">
        <f t="shared" si="4"/>
        <v>9589</v>
      </c>
      <c r="N38" s="87">
        <f t="shared" si="4"/>
        <v>7766</v>
      </c>
      <c r="O38" s="87">
        <f t="shared" si="4"/>
        <v>12345</v>
      </c>
      <c r="P38" s="87">
        <f t="shared" si="4"/>
        <v>5724</v>
      </c>
      <c r="Q38" s="87">
        <f t="shared" si="4"/>
        <v>10871</v>
      </c>
      <c r="R38" s="87"/>
      <c r="S38" s="87">
        <f>SUM(S30:S37)</f>
        <v>12393</v>
      </c>
      <c r="T38" s="84">
        <f>SUM(T30:T37)</f>
        <v>5558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7" ma:contentTypeDescription="Create a new document." ma:contentTypeScope="" ma:versionID="b4187ffd4434dcf71ff76995bb672718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5e27006b8f71371ec919b6041ad9e014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Props1.xml><?xml version="1.0" encoding="utf-8"?>
<ds:datastoreItem xmlns:ds="http://schemas.openxmlformats.org/officeDocument/2006/customXml" ds:itemID="{94139C5B-F74A-452E-B874-8F1CC2AB63E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68FA532-CD00-4440-960F-812714EA1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1CC3B-7161-4FFA-9316-3D2A60C812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AB4F7D-2416-4BB0-BECE-BFEA2E1B979E}">
  <ds:schemaRefs>
    <ds:schemaRef ds:uri="http://schemas.microsoft.com/office/2006/metadata/properties"/>
    <ds:schemaRef ds:uri="http://schemas.microsoft.com/office/infopath/2007/PartnerControls"/>
    <ds:schemaRef ds:uri="5d5a9754-d989-458f-8bd1-64889b46f6fa"/>
    <ds:schemaRef ds:uri="0302a5af-5ac8-462a-a23b-b4d1027da4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Intro</vt:lpstr>
      <vt:lpstr>US</vt:lpstr>
      <vt:lpstr>EU - country</vt:lpstr>
      <vt:lpstr>EU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Sheet15</vt:lpstr>
      <vt:lpstr>Poland</vt:lpstr>
      <vt:lpstr>Portugal</vt:lpstr>
      <vt:lpstr>Slovakia</vt:lpstr>
      <vt:lpstr>Spain</vt:lpstr>
      <vt:lpstr>Switzerland</vt:lpstr>
      <vt:lpstr>Netherlands</vt:lpstr>
      <vt:lpstr>UK</vt:lpstr>
      <vt:lpstr>Austria!Print_Area</vt:lpstr>
      <vt:lpstr>Denmark!Print_Area</vt:lpstr>
      <vt:lpstr>'EU - country'!Print_Area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2023-01-03T11:05:43Z</cp:lastPrinted>
  <dcterms:created xsi:type="dcterms:W3CDTF">2006-12-13T13:34:27Z</dcterms:created>
  <dcterms:modified xsi:type="dcterms:W3CDTF">2024-01-04T11:17:01Z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423400.000000000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