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eshfel365.sharepoint.com/sites/common1/Shared Documents/NEW SYSTEM/WAPA/Stocks/WAPA Stocks/Send/"/>
    </mc:Choice>
  </mc:AlternateContent>
  <xr:revisionPtr revIDLastSave="453" documentId="13_ncr:4000b_{7D3BE24C-6C16-4D3C-9004-78363112EB20}" xr6:coauthVersionLast="47" xr6:coauthVersionMax="47" xr10:uidLastSave="{E4C2BBA0-48D2-48AD-B9A5-DA61CA254AF8}"/>
  <bookViews>
    <workbookView xWindow="28680" yWindow="-120" windowWidth="29040" windowHeight="15720" tabRatio="596" activeTab="2" xr2:uid="{00000000-000D-0000-FFFF-FFFF00000000}"/>
  </bookViews>
  <sheets>
    <sheet name="Intro" sheetId="22" r:id="rId1"/>
    <sheet name="US" sheetId="9" r:id="rId2"/>
    <sheet name="Europe - country" sheetId="1" r:id="rId3"/>
    <sheet name="Europe - variety" sheetId="2" r:id="rId4"/>
    <sheet name="Austria" sheetId="25" r:id="rId5"/>
    <sheet name="Belgium" sheetId="26" r:id="rId6"/>
    <sheet name="Czech Republic" sheetId="27" r:id="rId7"/>
    <sheet name="Denmark" sheetId="28" r:id="rId8"/>
    <sheet name="France" sheetId="35" r:id="rId9"/>
    <sheet name="Germany" sheetId="29" r:id="rId10"/>
    <sheet name="Italy" sheetId="31" r:id="rId11"/>
    <sheet name="Poland" sheetId="36" r:id="rId12"/>
    <sheet name="Portugal" sheetId="38" r:id="rId13"/>
    <sheet name="Spain" sheetId="33" r:id="rId14"/>
    <sheet name="Switzerland" sheetId="34" r:id="rId15"/>
    <sheet name="Netherlands" sheetId="32" r:id="rId16"/>
    <sheet name="UK" sheetId="30" r:id="rId17"/>
  </sheets>
  <definedNames>
    <definedName name="_xlnm.Print_Area" localSheetId="2">'Europe - country'!$A$19:$P$33</definedName>
    <definedName name="_xlnm.Print_Area" localSheetId="3">'Europe - variety'!$A$35:$P$44</definedName>
    <definedName name="_xlnm.Print_Area" localSheetId="1">US!$A$1:$X$41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36" l="1"/>
  <c r="E21" i="27" l="1"/>
  <c r="E12" i="27"/>
  <c r="E43" i="2" l="1"/>
  <c r="E42" i="2"/>
  <c r="E41" i="2"/>
  <c r="E40" i="2"/>
  <c r="E39" i="2"/>
  <c r="E38" i="2"/>
  <c r="E37" i="2"/>
  <c r="E36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27" i="1"/>
  <c r="E26" i="1"/>
  <c r="E25" i="1"/>
  <c r="E24" i="1"/>
  <c r="E22" i="1"/>
  <c r="E21" i="1"/>
  <c r="E4" i="1"/>
  <c r="E2" i="1"/>
  <c r="E19" i="30" l="1"/>
  <c r="E32" i="1" s="1"/>
  <c r="E12" i="30"/>
  <c r="E15" i="1" s="1"/>
  <c r="E15" i="32"/>
  <c r="E31" i="1" s="1"/>
  <c r="E8" i="32"/>
  <c r="E14" i="1" s="1"/>
  <c r="E28" i="34"/>
  <c r="E30" i="1" s="1"/>
  <c r="E19" i="34"/>
  <c r="E13" i="1" s="1"/>
  <c r="E17" i="33"/>
  <c r="E29" i="1" s="1"/>
  <c r="E8" i="33"/>
  <c r="E12" i="1" s="1"/>
  <c r="E18" i="36"/>
  <c r="E9" i="1" s="1"/>
  <c r="E29" i="31"/>
  <c r="E20" i="31"/>
  <c r="E8" i="1" s="1"/>
  <c r="E21" i="29"/>
  <c r="E7" i="1" s="1"/>
  <c r="E38" i="35"/>
  <c r="E23" i="1" s="1"/>
  <c r="E26" i="35"/>
  <c r="E6" i="1" s="1"/>
  <c r="E20" i="28"/>
  <c r="E5" i="1" s="1"/>
  <c r="E20" i="26"/>
  <c r="E20" i="1" s="1"/>
  <c r="E10" i="26"/>
  <c r="E3" i="1" s="1"/>
  <c r="E21" i="25"/>
  <c r="E44" i="2"/>
  <c r="E32" i="2"/>
  <c r="E41" i="9"/>
  <c r="E27" i="9"/>
  <c r="B6" i="36"/>
  <c r="B31" i="31"/>
  <c r="B30" i="31"/>
  <c r="B29" i="31"/>
  <c r="B28" i="31"/>
  <c r="B27" i="31"/>
  <c r="B26" i="31"/>
  <c r="B25" i="31"/>
  <c r="B24" i="31"/>
  <c r="B22" i="31"/>
  <c r="B21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31" i="36"/>
  <c r="B30" i="36"/>
  <c r="B29" i="36"/>
  <c r="B28" i="36"/>
  <c r="B27" i="36"/>
  <c r="B26" i="36"/>
  <c r="B25" i="36"/>
  <c r="B24" i="36"/>
  <c r="B23" i="36"/>
  <c r="B22" i="36"/>
  <c r="B20" i="36"/>
  <c r="B19" i="36"/>
  <c r="B17" i="36"/>
  <c r="B16" i="36"/>
  <c r="B15" i="36"/>
  <c r="B14" i="36"/>
  <c r="B13" i="36"/>
  <c r="B12" i="36"/>
  <c r="B11" i="36"/>
  <c r="B10" i="36"/>
  <c r="B9" i="36"/>
  <c r="B8" i="36"/>
  <c r="B7" i="36"/>
  <c r="B5" i="36"/>
  <c r="B4" i="36"/>
  <c r="B3" i="36"/>
  <c r="B2" i="36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1" i="38"/>
  <c r="B10" i="38"/>
  <c r="B9" i="38"/>
  <c r="B8" i="38"/>
  <c r="B7" i="38"/>
  <c r="B6" i="38"/>
  <c r="B5" i="38"/>
  <c r="B4" i="38"/>
  <c r="B3" i="38"/>
  <c r="B2" i="38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6" i="33"/>
  <c r="B15" i="33"/>
  <c r="B14" i="33"/>
  <c r="B13" i="33"/>
  <c r="B12" i="33"/>
  <c r="B10" i="33"/>
  <c r="B9" i="33"/>
  <c r="B7" i="33"/>
  <c r="B6" i="33"/>
  <c r="B5" i="33"/>
  <c r="B4" i="33"/>
  <c r="B3" i="33"/>
  <c r="B2" i="33"/>
  <c r="B31" i="34"/>
  <c r="B30" i="34"/>
  <c r="B29" i="34"/>
  <c r="B27" i="34"/>
  <c r="B26" i="34"/>
  <c r="B25" i="34"/>
  <c r="B24" i="34"/>
  <c r="B23" i="34"/>
  <c r="B21" i="34"/>
  <c r="B20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B3" i="34"/>
  <c r="B2" i="34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4" i="32"/>
  <c r="B13" i="32"/>
  <c r="B12" i="32"/>
  <c r="B10" i="32"/>
  <c r="B9" i="32"/>
  <c r="B7" i="32"/>
  <c r="B6" i="32"/>
  <c r="B5" i="32"/>
  <c r="B4" i="32"/>
  <c r="B3" i="32"/>
  <c r="B2" i="32"/>
  <c r="B31" i="30"/>
  <c r="B30" i="30"/>
  <c r="B29" i="30"/>
  <c r="B28" i="30"/>
  <c r="B27" i="30"/>
  <c r="B26" i="30"/>
  <c r="B25" i="30"/>
  <c r="B23" i="30"/>
  <c r="B22" i="30"/>
  <c r="B21" i="30"/>
  <c r="B20" i="30"/>
  <c r="B18" i="30"/>
  <c r="B17" i="30"/>
  <c r="B16" i="30"/>
  <c r="B14" i="30"/>
  <c r="B13" i="30"/>
  <c r="B11" i="30"/>
  <c r="B10" i="30"/>
  <c r="B9" i="30"/>
  <c r="B8" i="30"/>
  <c r="B7" i="30"/>
  <c r="B6" i="30"/>
  <c r="B5" i="30"/>
  <c r="B4" i="30"/>
  <c r="B3" i="30"/>
  <c r="B2" i="30"/>
  <c r="B31" i="29"/>
  <c r="B30" i="29"/>
  <c r="B29" i="29"/>
  <c r="B28" i="29"/>
  <c r="B27" i="29"/>
  <c r="B26" i="29"/>
  <c r="B25" i="29"/>
  <c r="B23" i="29"/>
  <c r="B22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4" i="29"/>
  <c r="B3" i="29"/>
  <c r="B2" i="29"/>
  <c r="B37" i="35"/>
  <c r="B36" i="35"/>
  <c r="B35" i="35"/>
  <c r="B34" i="35"/>
  <c r="B33" i="35"/>
  <c r="B32" i="35"/>
  <c r="B31" i="35"/>
  <c r="B30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3" i="35"/>
  <c r="B2" i="35"/>
  <c r="B27" i="28"/>
  <c r="B26" i="28"/>
  <c r="B25" i="28"/>
  <c r="B24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B20" i="27"/>
  <c r="B19" i="27"/>
  <c r="B18" i="27"/>
  <c r="B17" i="27"/>
  <c r="B16" i="27"/>
  <c r="B11" i="27"/>
  <c r="B10" i="27"/>
  <c r="B9" i="27"/>
  <c r="B8" i="27"/>
  <c r="B7" i="27"/>
  <c r="B6" i="27"/>
  <c r="B5" i="27"/>
  <c r="B4" i="27"/>
  <c r="B3" i="27"/>
  <c r="B2" i="27"/>
  <c r="B19" i="26"/>
  <c r="B18" i="26"/>
  <c r="B17" i="26"/>
  <c r="B16" i="26"/>
  <c r="B15" i="26"/>
  <c r="B9" i="26"/>
  <c r="B8" i="26"/>
  <c r="B7" i="26"/>
  <c r="B6" i="26"/>
  <c r="B5" i="26"/>
  <c r="B4" i="26"/>
  <c r="B3" i="26"/>
  <c r="B2" i="26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B2" i="25"/>
  <c r="B42" i="2"/>
  <c r="B41" i="2"/>
  <c r="B36" i="2"/>
  <c r="B2" i="1"/>
  <c r="B2" i="9"/>
  <c r="B40" i="9"/>
  <c r="B39" i="9"/>
  <c r="B38" i="9"/>
  <c r="B37" i="9"/>
  <c r="B36" i="9"/>
  <c r="B35" i="9"/>
  <c r="B34" i="9"/>
  <c r="B33" i="9"/>
  <c r="B32" i="9"/>
  <c r="B31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8" i="1"/>
  <c r="B11" i="1"/>
  <c r="B10" i="1"/>
  <c r="B20" i="28" l="1"/>
  <c r="E16" i="1"/>
  <c r="E33" i="1"/>
  <c r="F12" i="30"/>
  <c r="F19" i="30"/>
  <c r="B19" i="30" l="1"/>
  <c r="B12" i="30"/>
  <c r="E40" i="1"/>
  <c r="C41" i="1"/>
  <c r="F18" i="36"/>
  <c r="B18" i="36" l="1"/>
  <c r="C42" i="1"/>
  <c r="C40" i="1"/>
  <c r="F28" i="34"/>
  <c r="F19" i="34"/>
  <c r="B28" i="34" l="1"/>
  <c r="B19" i="34"/>
  <c r="F38" i="35"/>
  <c r="F26" i="35"/>
  <c r="B38" i="35" l="1"/>
  <c r="B26" i="35"/>
  <c r="F21" i="27"/>
  <c r="B21" i="27" s="1"/>
  <c r="F12" i="27"/>
  <c r="B12" i="27" s="1"/>
  <c r="F15" i="32" l="1"/>
  <c r="F8" i="32"/>
  <c r="F21" i="29"/>
  <c r="F17" i="33"/>
  <c r="F8" i="33"/>
  <c r="F21" i="25"/>
  <c r="F19" i="28"/>
  <c r="F20" i="28"/>
  <c r="B15" i="32" l="1"/>
  <c r="B8" i="32"/>
  <c r="B17" i="33"/>
  <c r="B8" i="33"/>
  <c r="B21" i="29"/>
  <c r="F41" i="9"/>
  <c r="B41" i="9" l="1"/>
  <c r="F20" i="26"/>
  <c r="F10" i="26"/>
  <c r="B20" i="26" l="1"/>
  <c r="B10" i="26"/>
  <c r="F15" i="1"/>
  <c r="F14" i="1"/>
  <c r="F13" i="1"/>
  <c r="F12" i="1"/>
  <c r="F9" i="1"/>
  <c r="F7" i="1"/>
  <c r="F6" i="1"/>
  <c r="F5" i="1"/>
  <c r="B5" i="1" s="1"/>
  <c r="F4" i="1"/>
  <c r="F3" i="1"/>
  <c r="F2" i="1"/>
  <c r="F20" i="31"/>
  <c r="F8" i="1" l="1"/>
  <c r="B20" i="31"/>
  <c r="B8" i="1"/>
  <c r="B7" i="1"/>
  <c r="B9" i="1"/>
  <c r="B6" i="1"/>
  <c r="B12" i="1"/>
  <c r="B13" i="1"/>
  <c r="B3" i="1"/>
  <c r="B14" i="1"/>
  <c r="B4" i="1"/>
  <c r="B15" i="1"/>
  <c r="F16" i="1"/>
  <c r="G27" i="9"/>
  <c r="F27" i="9"/>
  <c r="B27" i="9" l="1"/>
  <c r="B16" i="1"/>
  <c r="F43" i="2"/>
  <c r="F42" i="2"/>
  <c r="F41" i="2"/>
  <c r="F40" i="2"/>
  <c r="F39" i="2"/>
  <c r="F38" i="2"/>
  <c r="F37" i="2"/>
  <c r="F36" i="2"/>
  <c r="B38" i="2" l="1"/>
  <c r="B37" i="2"/>
  <c r="D41" i="1"/>
  <c r="B39" i="2"/>
  <c r="B40" i="2"/>
  <c r="B43" i="2"/>
  <c r="F44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32" i="1"/>
  <c r="F31" i="1"/>
  <c r="F30" i="1"/>
  <c r="F29" i="1"/>
  <c r="F27" i="1"/>
  <c r="B27" i="1" s="1"/>
  <c r="F26" i="1"/>
  <c r="F25" i="1"/>
  <c r="F24" i="1"/>
  <c r="F23" i="1"/>
  <c r="F22" i="1"/>
  <c r="F21" i="1"/>
  <c r="F20" i="1"/>
  <c r="F29" i="31"/>
  <c r="B21" i="2" l="1"/>
  <c r="B7" i="2"/>
  <c r="B5" i="2"/>
  <c r="B6" i="2"/>
  <c r="B22" i="2"/>
  <c r="B2" i="2"/>
  <c r="B20" i="2"/>
  <c r="B28" i="2"/>
  <c r="B9" i="2"/>
  <c r="B24" i="1"/>
  <c r="B11" i="2"/>
  <c r="B25" i="2"/>
  <c r="B16" i="2"/>
  <c r="B27" i="2"/>
  <c r="B29" i="2"/>
  <c r="B24" i="2"/>
  <c r="B17" i="2"/>
  <c r="B26" i="2"/>
  <c r="B15" i="2"/>
  <c r="B12" i="2"/>
  <c r="B4" i="2"/>
  <c r="B23" i="2"/>
  <c r="B30" i="2"/>
  <c r="B44" i="2"/>
  <c r="B20" i="1"/>
  <c r="B14" i="2"/>
  <c r="B18" i="2"/>
  <c r="B31" i="2"/>
  <c r="B10" i="2"/>
  <c r="B3" i="2"/>
  <c r="B19" i="2"/>
  <c r="B13" i="2"/>
  <c r="B8" i="2"/>
  <c r="B32" i="1"/>
  <c r="B26" i="1"/>
  <c r="B31" i="1"/>
  <c r="B25" i="1"/>
  <c r="B29" i="1"/>
  <c r="B21" i="1"/>
  <c r="B30" i="1"/>
  <c r="B22" i="1"/>
  <c r="B23" i="1"/>
  <c r="F33" i="1"/>
  <c r="F32" i="2"/>
  <c r="F40" i="1" l="1"/>
  <c r="D42" i="1"/>
  <c r="B32" i="2"/>
  <c r="D40" i="1"/>
  <c r="B33" i="1"/>
  <c r="H41" i="9"/>
  <c r="G41" i="9"/>
  <c r="H26" i="9"/>
  <c r="G19" i="30"/>
  <c r="G12" i="30"/>
  <c r="G21" i="27"/>
  <c r="G12" i="27"/>
  <c r="G20" i="28"/>
  <c r="G28" i="34"/>
  <c r="G19" i="34"/>
  <c r="G21" i="25"/>
  <c r="G17" i="33"/>
  <c r="G8" i="33"/>
  <c r="G29" i="31"/>
  <c r="G38" i="35"/>
  <c r="G26" i="35"/>
  <c r="G18" i="36"/>
  <c r="G20" i="31"/>
  <c r="G43" i="2"/>
  <c r="G20" i="26"/>
  <c r="G10" i="26"/>
  <c r="G42" i="2"/>
  <c r="G41" i="2"/>
  <c r="G40" i="2"/>
  <c r="G39" i="2"/>
  <c r="G38" i="2"/>
  <c r="G37" i="2"/>
  <c r="G36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27" i="1"/>
  <c r="G26" i="1"/>
  <c r="G25" i="1"/>
  <c r="G24" i="1"/>
  <c r="G22" i="1"/>
  <c r="G21" i="1"/>
  <c r="G20" i="1"/>
  <c r="G5" i="1"/>
  <c r="G2" i="1"/>
  <c r="G15" i="32"/>
  <c r="G8" i="32"/>
  <c r="G21" i="29"/>
  <c r="H29" i="31"/>
  <c r="H25" i="1" s="1"/>
  <c r="H38" i="35"/>
  <c r="H23" i="1" s="1"/>
  <c r="H26" i="35"/>
  <c r="I26" i="35"/>
  <c r="H36" i="2"/>
  <c r="I36" i="2"/>
  <c r="H43" i="2"/>
  <c r="H42" i="2"/>
  <c r="H41" i="2"/>
  <c r="H40" i="2"/>
  <c r="H39" i="2"/>
  <c r="H38" i="2"/>
  <c r="H37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7" i="1"/>
  <c r="H26" i="1"/>
  <c r="H24" i="1"/>
  <c r="H22" i="1"/>
  <c r="H13" i="1"/>
  <c r="H27" i="9"/>
  <c r="H19" i="30"/>
  <c r="H12" i="30"/>
  <c r="H28" i="34"/>
  <c r="H19" i="34"/>
  <c r="H17" i="33"/>
  <c r="H8" i="33"/>
  <c r="H12" i="1" s="1"/>
  <c r="H19" i="31"/>
  <c r="H31" i="2" s="1"/>
  <c r="H18" i="36"/>
  <c r="H9" i="1" s="1"/>
  <c r="H15" i="32"/>
  <c r="H8" i="32"/>
  <c r="H21" i="29"/>
  <c r="H7" i="1" s="1"/>
  <c r="H20" i="28"/>
  <c r="H21" i="27"/>
  <c r="H21" i="1" s="1"/>
  <c r="H12" i="27"/>
  <c r="H4" i="1" s="1"/>
  <c r="H20" i="26"/>
  <c r="H20" i="1" s="1"/>
  <c r="H10" i="26"/>
  <c r="H21" i="25"/>
  <c r="I19" i="30"/>
  <c r="I12" i="30"/>
  <c r="I26" i="29"/>
  <c r="I24" i="1" s="1"/>
  <c r="I18" i="36"/>
  <c r="I9" i="1" s="1"/>
  <c r="I25" i="36"/>
  <c r="I26" i="1" s="1"/>
  <c r="I43" i="2"/>
  <c r="I42" i="2"/>
  <c r="I41" i="2"/>
  <c r="I40" i="2"/>
  <c r="I39" i="2"/>
  <c r="I38" i="2"/>
  <c r="I37" i="2"/>
  <c r="J36" i="2"/>
  <c r="K36" i="2"/>
  <c r="L36" i="2"/>
  <c r="M36" i="2"/>
  <c r="N36" i="2"/>
  <c r="O36" i="2"/>
  <c r="P36" i="2"/>
  <c r="J37" i="2"/>
  <c r="K37" i="2"/>
  <c r="L37" i="2"/>
  <c r="M37" i="2"/>
  <c r="N37" i="2"/>
  <c r="O37" i="2"/>
  <c r="P37" i="2"/>
  <c r="J38" i="2"/>
  <c r="K38" i="2"/>
  <c r="L38" i="2"/>
  <c r="M38" i="2"/>
  <c r="N38" i="2"/>
  <c r="O38" i="2"/>
  <c r="P38" i="2"/>
  <c r="J39" i="2"/>
  <c r="K39" i="2"/>
  <c r="L39" i="2"/>
  <c r="M39" i="2"/>
  <c r="N39" i="2"/>
  <c r="O39" i="2"/>
  <c r="P39" i="2"/>
  <c r="J40" i="2"/>
  <c r="K40" i="2"/>
  <c r="L40" i="2"/>
  <c r="M40" i="2"/>
  <c r="N40" i="2"/>
  <c r="O40" i="2"/>
  <c r="P40" i="2"/>
  <c r="J41" i="2"/>
  <c r="K41" i="2"/>
  <c r="L41" i="2"/>
  <c r="M41" i="2"/>
  <c r="N41" i="2"/>
  <c r="O41" i="2"/>
  <c r="P41" i="2"/>
  <c r="J42" i="2"/>
  <c r="K42" i="2"/>
  <c r="L42" i="2"/>
  <c r="M42" i="2"/>
  <c r="N42" i="2"/>
  <c r="O42" i="2"/>
  <c r="P42" i="2"/>
  <c r="J43" i="2"/>
  <c r="K43" i="2"/>
  <c r="L43" i="2"/>
  <c r="M43" i="2"/>
  <c r="N43" i="2"/>
  <c r="O43" i="2"/>
  <c r="P43" i="2"/>
  <c r="I30" i="1"/>
  <c r="I27" i="1"/>
  <c r="I25" i="1"/>
  <c r="I13" i="1"/>
  <c r="I19" i="31"/>
  <c r="I31" i="2"/>
  <c r="I21" i="25"/>
  <c r="I2" i="1" s="1"/>
  <c r="I20" i="26"/>
  <c r="I10" i="26"/>
  <c r="I3" i="1"/>
  <c r="I21" i="27"/>
  <c r="I21" i="1"/>
  <c r="I12" i="27"/>
  <c r="I38" i="35"/>
  <c r="I23" i="1" s="1"/>
  <c r="I15" i="32"/>
  <c r="I31" i="1" s="1"/>
  <c r="I8" i="32"/>
  <c r="I14" i="1"/>
  <c r="I21" i="29"/>
  <c r="I7" i="1" s="1"/>
  <c r="I41" i="9"/>
  <c r="I26" i="9"/>
  <c r="I27" i="9" s="1"/>
  <c r="I15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27" i="28"/>
  <c r="I20" i="28"/>
  <c r="I17" i="33"/>
  <c r="I29" i="1" s="1"/>
  <c r="I8" i="33"/>
  <c r="I12" i="1" s="1"/>
  <c r="T31" i="2"/>
  <c r="S31" i="2"/>
  <c r="R31" i="2"/>
  <c r="Q31" i="2"/>
  <c r="P31" i="2"/>
  <c r="O31" i="2"/>
  <c r="N31" i="2"/>
  <c r="M31" i="2"/>
  <c r="L31" i="2"/>
  <c r="T30" i="2"/>
  <c r="R30" i="2"/>
  <c r="Q30" i="2"/>
  <c r="P30" i="2"/>
  <c r="O30" i="2"/>
  <c r="N30" i="2"/>
  <c r="M30" i="2"/>
  <c r="L30" i="2"/>
  <c r="K30" i="2"/>
  <c r="T29" i="2"/>
  <c r="S29" i="2"/>
  <c r="R29" i="2"/>
  <c r="Q29" i="2"/>
  <c r="P29" i="2"/>
  <c r="O29" i="2"/>
  <c r="N29" i="2"/>
  <c r="M29" i="2"/>
  <c r="L29" i="2"/>
  <c r="K29" i="2"/>
  <c r="T28" i="2"/>
  <c r="S28" i="2"/>
  <c r="R28" i="2"/>
  <c r="Q28" i="2"/>
  <c r="P28" i="2"/>
  <c r="O28" i="2"/>
  <c r="N28" i="2"/>
  <c r="M28" i="2"/>
  <c r="L28" i="2"/>
  <c r="K28" i="2"/>
  <c r="T27" i="2"/>
  <c r="S27" i="2"/>
  <c r="R27" i="2"/>
  <c r="Q27" i="2"/>
  <c r="P27" i="2"/>
  <c r="O27" i="2"/>
  <c r="N27" i="2"/>
  <c r="M27" i="2"/>
  <c r="L27" i="2"/>
  <c r="K27" i="2"/>
  <c r="T26" i="2"/>
  <c r="S26" i="2"/>
  <c r="R26" i="2"/>
  <c r="Q26" i="2"/>
  <c r="P26" i="2"/>
  <c r="O26" i="2"/>
  <c r="N26" i="2"/>
  <c r="M26" i="2"/>
  <c r="L26" i="2"/>
  <c r="K26" i="2"/>
  <c r="T25" i="2"/>
  <c r="S25" i="2"/>
  <c r="R25" i="2"/>
  <c r="Q25" i="2"/>
  <c r="P25" i="2"/>
  <c r="O25" i="2"/>
  <c r="N25" i="2"/>
  <c r="M25" i="2"/>
  <c r="L25" i="2"/>
  <c r="K25" i="2"/>
  <c r="T24" i="2"/>
  <c r="S24" i="2"/>
  <c r="R24" i="2"/>
  <c r="Q24" i="2"/>
  <c r="P24" i="2"/>
  <c r="O24" i="2"/>
  <c r="N24" i="2"/>
  <c r="M24" i="2"/>
  <c r="L24" i="2"/>
  <c r="K24" i="2"/>
  <c r="T23" i="2"/>
  <c r="S23" i="2"/>
  <c r="R23" i="2"/>
  <c r="Q23" i="2"/>
  <c r="P23" i="2"/>
  <c r="O23" i="2"/>
  <c r="N23" i="2"/>
  <c r="M23" i="2"/>
  <c r="L23" i="2"/>
  <c r="K23" i="2"/>
  <c r="T22" i="2"/>
  <c r="S22" i="2"/>
  <c r="R22" i="2"/>
  <c r="Q22" i="2"/>
  <c r="P22" i="2"/>
  <c r="O22" i="2"/>
  <c r="N22" i="2"/>
  <c r="M22" i="2"/>
  <c r="L22" i="2"/>
  <c r="K22" i="2"/>
  <c r="T21" i="2"/>
  <c r="S21" i="2"/>
  <c r="R21" i="2"/>
  <c r="Q21" i="2"/>
  <c r="P21" i="2"/>
  <c r="O21" i="2"/>
  <c r="N21" i="2"/>
  <c r="M21" i="2"/>
  <c r="L21" i="2"/>
  <c r="K21" i="2"/>
  <c r="T20" i="2"/>
  <c r="S20" i="2"/>
  <c r="R20" i="2"/>
  <c r="Q20" i="2"/>
  <c r="P20" i="2"/>
  <c r="O20" i="2"/>
  <c r="N20" i="2"/>
  <c r="M20" i="2"/>
  <c r="L20" i="2"/>
  <c r="K20" i="2"/>
  <c r="T19" i="2"/>
  <c r="S19" i="2"/>
  <c r="R19" i="2"/>
  <c r="Q19" i="2"/>
  <c r="P19" i="2"/>
  <c r="O19" i="2"/>
  <c r="N19" i="2"/>
  <c r="M19" i="2"/>
  <c r="L19" i="2"/>
  <c r="K19" i="2"/>
  <c r="T18" i="2"/>
  <c r="S18" i="2"/>
  <c r="R18" i="2"/>
  <c r="Q18" i="2"/>
  <c r="P18" i="2"/>
  <c r="O18" i="2"/>
  <c r="N18" i="2"/>
  <c r="M18" i="2"/>
  <c r="L18" i="2"/>
  <c r="T17" i="2"/>
  <c r="S17" i="2"/>
  <c r="R17" i="2"/>
  <c r="Q17" i="2"/>
  <c r="P17" i="2"/>
  <c r="O17" i="2"/>
  <c r="N17" i="2"/>
  <c r="M17" i="2"/>
  <c r="L17" i="2"/>
  <c r="T16" i="2"/>
  <c r="S16" i="2"/>
  <c r="R16" i="2"/>
  <c r="Q16" i="2"/>
  <c r="P16" i="2"/>
  <c r="O16" i="2"/>
  <c r="N16" i="2"/>
  <c r="M16" i="2"/>
  <c r="L16" i="2"/>
  <c r="K16" i="2"/>
  <c r="T15" i="2"/>
  <c r="S15" i="2"/>
  <c r="R15" i="2"/>
  <c r="Q15" i="2"/>
  <c r="P15" i="2"/>
  <c r="O15" i="2"/>
  <c r="N15" i="2"/>
  <c r="M15" i="2"/>
  <c r="L15" i="2"/>
  <c r="K15" i="2"/>
  <c r="T14" i="2"/>
  <c r="S14" i="2"/>
  <c r="R14" i="2"/>
  <c r="Q14" i="2"/>
  <c r="P14" i="2"/>
  <c r="O14" i="2"/>
  <c r="N14" i="2"/>
  <c r="M14" i="2"/>
  <c r="L14" i="2"/>
  <c r="T13" i="2"/>
  <c r="S13" i="2"/>
  <c r="R13" i="2"/>
  <c r="Q13" i="2"/>
  <c r="P13" i="2"/>
  <c r="O13" i="2"/>
  <c r="N13" i="2"/>
  <c r="M13" i="2"/>
  <c r="L13" i="2"/>
  <c r="K13" i="2"/>
  <c r="T12" i="2"/>
  <c r="S12" i="2"/>
  <c r="R12" i="2"/>
  <c r="Q12" i="2"/>
  <c r="P12" i="2"/>
  <c r="O12" i="2"/>
  <c r="N12" i="2"/>
  <c r="M12" i="2"/>
  <c r="L12" i="2"/>
  <c r="T11" i="2"/>
  <c r="S11" i="2"/>
  <c r="R11" i="2"/>
  <c r="Q11" i="2"/>
  <c r="P11" i="2"/>
  <c r="O11" i="2"/>
  <c r="N11" i="2"/>
  <c r="M11" i="2"/>
  <c r="L11" i="2"/>
  <c r="K11" i="2"/>
  <c r="T10" i="2"/>
  <c r="S10" i="2"/>
  <c r="R10" i="2"/>
  <c r="Q10" i="2"/>
  <c r="P10" i="2"/>
  <c r="O10" i="2"/>
  <c r="N10" i="2"/>
  <c r="M10" i="2"/>
  <c r="L10" i="2"/>
  <c r="K10" i="2"/>
  <c r="T9" i="2"/>
  <c r="S9" i="2"/>
  <c r="R9" i="2"/>
  <c r="Q9" i="2"/>
  <c r="P9" i="2"/>
  <c r="O9" i="2"/>
  <c r="N9" i="2"/>
  <c r="M9" i="2"/>
  <c r="L9" i="2"/>
  <c r="K9" i="2"/>
  <c r="T8" i="2"/>
  <c r="S8" i="2"/>
  <c r="R8" i="2"/>
  <c r="Q8" i="2"/>
  <c r="P8" i="2"/>
  <c r="O8" i="2"/>
  <c r="N8" i="2"/>
  <c r="M8" i="2"/>
  <c r="L8" i="2"/>
  <c r="K8" i="2"/>
  <c r="T7" i="2"/>
  <c r="S7" i="2"/>
  <c r="R7" i="2"/>
  <c r="Q7" i="2"/>
  <c r="P7" i="2"/>
  <c r="O7" i="2"/>
  <c r="N7" i="2"/>
  <c r="M7" i="2"/>
  <c r="L7" i="2"/>
  <c r="K7" i="2"/>
  <c r="T6" i="2"/>
  <c r="S6" i="2"/>
  <c r="R6" i="2"/>
  <c r="Q6" i="2"/>
  <c r="P6" i="2"/>
  <c r="O6" i="2"/>
  <c r="N6" i="2"/>
  <c r="M6" i="2"/>
  <c r="L6" i="2"/>
  <c r="K6" i="2"/>
  <c r="T5" i="2"/>
  <c r="S5" i="2"/>
  <c r="R5" i="2"/>
  <c r="Q5" i="2"/>
  <c r="P5" i="2"/>
  <c r="O5" i="2"/>
  <c r="N5" i="2"/>
  <c r="M5" i="2"/>
  <c r="L5" i="2"/>
  <c r="K5" i="2"/>
  <c r="T4" i="2"/>
  <c r="S4" i="2"/>
  <c r="R4" i="2"/>
  <c r="Q4" i="2"/>
  <c r="P4" i="2"/>
  <c r="O4" i="2"/>
  <c r="N4" i="2"/>
  <c r="M4" i="2"/>
  <c r="L4" i="2"/>
  <c r="K4" i="2"/>
  <c r="T3" i="2"/>
  <c r="S3" i="2"/>
  <c r="R3" i="2"/>
  <c r="Q3" i="2"/>
  <c r="P3" i="2"/>
  <c r="O3" i="2"/>
  <c r="N3" i="2"/>
  <c r="M3" i="2"/>
  <c r="L3" i="2"/>
  <c r="K3" i="2"/>
  <c r="T2" i="2"/>
  <c r="S2" i="2"/>
  <c r="R2" i="2"/>
  <c r="Q2" i="2"/>
  <c r="P2" i="2"/>
  <c r="O2" i="2"/>
  <c r="N2" i="2"/>
  <c r="M2" i="2"/>
  <c r="L2" i="2"/>
  <c r="K2" i="2"/>
  <c r="J2" i="2"/>
  <c r="J3" i="2"/>
  <c r="J5" i="2"/>
  <c r="J6" i="2"/>
  <c r="J7" i="2"/>
  <c r="J8" i="2"/>
  <c r="J9" i="2"/>
  <c r="J10" i="2"/>
  <c r="J11" i="2"/>
  <c r="J13" i="2"/>
  <c r="J15" i="2"/>
  <c r="J16" i="2"/>
  <c r="J17" i="2"/>
  <c r="J19" i="2"/>
  <c r="J20" i="2"/>
  <c r="J21" i="2"/>
  <c r="J22" i="2"/>
  <c r="J23" i="2"/>
  <c r="J24" i="2"/>
  <c r="J25" i="2"/>
  <c r="J26" i="2"/>
  <c r="J27" i="2"/>
  <c r="J28" i="2"/>
  <c r="J29" i="2"/>
  <c r="J18" i="36"/>
  <c r="J9" i="1" s="1"/>
  <c r="J21" i="29"/>
  <c r="J7" i="1" s="1"/>
  <c r="J15" i="32"/>
  <c r="J31" i="1" s="1"/>
  <c r="J8" i="32"/>
  <c r="J14" i="1" s="1"/>
  <c r="J19" i="30"/>
  <c r="J32" i="1" s="1"/>
  <c r="J12" i="30"/>
  <c r="J28" i="34"/>
  <c r="J30" i="1" s="1"/>
  <c r="J18" i="34"/>
  <c r="J31" i="2" s="1"/>
  <c r="J17" i="34"/>
  <c r="J11" i="34"/>
  <c r="J18" i="2" s="1"/>
  <c r="J8" i="34"/>
  <c r="J14" i="2" s="1"/>
  <c r="J7" i="34"/>
  <c r="J6" i="34"/>
  <c r="J12" i="2"/>
  <c r="J3" i="34"/>
  <c r="J4" i="2"/>
  <c r="J17" i="33"/>
  <c r="J29" i="1" s="1"/>
  <c r="J8" i="33"/>
  <c r="J12" i="1" s="1"/>
  <c r="J26" i="9"/>
  <c r="J27" i="9" s="1"/>
  <c r="J41" i="9"/>
  <c r="J20" i="31"/>
  <c r="J8" i="1" s="1"/>
  <c r="J29" i="31"/>
  <c r="J25" i="1"/>
  <c r="J38" i="35"/>
  <c r="J23" i="1"/>
  <c r="J26" i="35"/>
  <c r="J6" i="1" s="1"/>
  <c r="J27" i="28"/>
  <c r="J22" i="1" s="1"/>
  <c r="J20" i="28"/>
  <c r="J5" i="1"/>
  <c r="J20" i="26"/>
  <c r="J10" i="26"/>
  <c r="J3" i="1" s="1"/>
  <c r="J21" i="25"/>
  <c r="J2" i="1"/>
  <c r="J27" i="1"/>
  <c r="J26" i="1"/>
  <c r="J24" i="1"/>
  <c r="J21" i="1"/>
  <c r="J4" i="1"/>
  <c r="K29" i="31"/>
  <c r="K25" i="1" s="1"/>
  <c r="K18" i="36"/>
  <c r="K25" i="36"/>
  <c r="K26" i="1" s="1"/>
  <c r="K12" i="30"/>
  <c r="K15" i="1" s="1"/>
  <c r="K21" i="27"/>
  <c r="K21" i="1"/>
  <c r="K15" i="32"/>
  <c r="K31" i="1"/>
  <c r="K8" i="32"/>
  <c r="K14" i="1" s="1"/>
  <c r="N15" i="32"/>
  <c r="M15" i="32"/>
  <c r="M31" i="1"/>
  <c r="L15" i="32"/>
  <c r="L31" i="1" s="1"/>
  <c r="N8" i="32"/>
  <c r="N14" i="1" s="1"/>
  <c r="M8" i="32"/>
  <c r="M14" i="1" s="1"/>
  <c r="L8" i="32"/>
  <c r="L14" i="1" s="1"/>
  <c r="K20" i="26"/>
  <c r="K10" i="26"/>
  <c r="K3" i="1" s="1"/>
  <c r="K18" i="34"/>
  <c r="K19" i="34" s="1"/>
  <c r="K13" i="1" s="1"/>
  <c r="K21" i="29"/>
  <c r="K7" i="1" s="1"/>
  <c r="K27" i="9"/>
  <c r="K8" i="25"/>
  <c r="K12" i="2" s="1"/>
  <c r="K10" i="25"/>
  <c r="K14" i="2" s="1"/>
  <c r="K12" i="25"/>
  <c r="K17" i="2" s="1"/>
  <c r="K13" i="25"/>
  <c r="K18" i="2" s="1"/>
  <c r="K20" i="25"/>
  <c r="K31" i="2" s="1"/>
  <c r="K8" i="33"/>
  <c r="K12" i="1" s="1"/>
  <c r="K20" i="31"/>
  <c r="K8" i="1"/>
  <c r="K26" i="35"/>
  <c r="K5" i="1"/>
  <c r="K19" i="30"/>
  <c r="K32" i="1" s="1"/>
  <c r="K17" i="33"/>
  <c r="K29" i="1" s="1"/>
  <c r="K38" i="35"/>
  <c r="K23" i="1" s="1"/>
  <c r="K22" i="1"/>
  <c r="K24" i="1"/>
  <c r="K27" i="1"/>
  <c r="K30" i="1"/>
  <c r="L25" i="36"/>
  <c r="L26" i="1" s="1"/>
  <c r="L21" i="25"/>
  <c r="L2" i="1" s="1"/>
  <c r="K4" i="1"/>
  <c r="L20" i="26"/>
  <c r="L20" i="1" s="1"/>
  <c r="M20" i="26"/>
  <c r="M20" i="1" s="1"/>
  <c r="N20" i="26"/>
  <c r="N20" i="1"/>
  <c r="O20" i="26"/>
  <c r="O20" i="1"/>
  <c r="P20" i="26"/>
  <c r="P20" i="1" s="1"/>
  <c r="Q20" i="26"/>
  <c r="Q20" i="1" s="1"/>
  <c r="R20" i="1"/>
  <c r="L21" i="27"/>
  <c r="L21" i="1" s="1"/>
  <c r="M21" i="27"/>
  <c r="M21" i="1"/>
  <c r="N21" i="27"/>
  <c r="N21" i="1"/>
  <c r="O21" i="27"/>
  <c r="O21" i="1"/>
  <c r="P21" i="27"/>
  <c r="P21" i="1" s="1"/>
  <c r="Q21" i="27"/>
  <c r="Q21" i="1" s="1"/>
  <c r="R21" i="27"/>
  <c r="R21" i="1" s="1"/>
  <c r="L27" i="28"/>
  <c r="L22" i="1" s="1"/>
  <c r="M27" i="28"/>
  <c r="M22" i="1" s="1"/>
  <c r="N27" i="28"/>
  <c r="N22" i="1" s="1"/>
  <c r="O22" i="1"/>
  <c r="P27" i="28"/>
  <c r="P22" i="1" s="1"/>
  <c r="Q22" i="1"/>
  <c r="R22" i="1"/>
  <c r="L38" i="35"/>
  <c r="L23" i="1"/>
  <c r="M38" i="35"/>
  <c r="M23" i="1" s="1"/>
  <c r="N38" i="35"/>
  <c r="N23" i="1" s="1"/>
  <c r="O38" i="35"/>
  <c r="O23" i="1" s="1"/>
  <c r="P38" i="35"/>
  <c r="P23" i="1"/>
  <c r="Q38" i="35"/>
  <c r="Q23" i="1" s="1"/>
  <c r="R23" i="1"/>
  <c r="S23" i="1"/>
  <c r="S33" i="1" s="1"/>
  <c r="T23" i="1"/>
  <c r="T33" i="1" s="1"/>
  <c r="U23" i="1"/>
  <c r="U33" i="1"/>
  <c r="V23" i="1"/>
  <c r="V33" i="1" s="1"/>
  <c r="L26" i="29"/>
  <c r="L24" i="1" s="1"/>
  <c r="M26" i="29"/>
  <c r="M24" i="1" s="1"/>
  <c r="N26" i="29"/>
  <c r="N24" i="1" s="1"/>
  <c r="O26" i="29"/>
  <c r="O24" i="1" s="1"/>
  <c r="P26" i="29"/>
  <c r="P24" i="1" s="1"/>
  <c r="Q26" i="29"/>
  <c r="Q24" i="1" s="1"/>
  <c r="R26" i="29"/>
  <c r="R24" i="1"/>
  <c r="L25" i="1"/>
  <c r="M25" i="1"/>
  <c r="N25" i="1"/>
  <c r="O25" i="1"/>
  <c r="P29" i="31"/>
  <c r="P25" i="1"/>
  <c r="Q29" i="31"/>
  <c r="Q25" i="1" s="1"/>
  <c r="R29" i="31"/>
  <c r="R25" i="1"/>
  <c r="M26" i="1"/>
  <c r="N25" i="36"/>
  <c r="N26" i="1"/>
  <c r="O25" i="36"/>
  <c r="O26" i="1"/>
  <c r="P25" i="36"/>
  <c r="P26" i="1" s="1"/>
  <c r="Q25" i="36"/>
  <c r="Q26" i="1"/>
  <c r="R25" i="36"/>
  <c r="R26" i="1" s="1"/>
  <c r="L27" i="1"/>
  <c r="M27" i="1"/>
  <c r="N27" i="1"/>
  <c r="O27" i="1"/>
  <c r="P27" i="1"/>
  <c r="Q27" i="1"/>
  <c r="R14" i="38"/>
  <c r="R27" i="1" s="1"/>
  <c r="L17" i="33"/>
  <c r="L29" i="1" s="1"/>
  <c r="M17" i="33"/>
  <c r="M29" i="1" s="1"/>
  <c r="N17" i="33"/>
  <c r="N29" i="1" s="1"/>
  <c r="O17" i="33"/>
  <c r="O29" i="1" s="1"/>
  <c r="P17" i="33"/>
  <c r="P29" i="1" s="1"/>
  <c r="Q17" i="33"/>
  <c r="Q29" i="1" s="1"/>
  <c r="R17" i="33"/>
  <c r="R29" i="1" s="1"/>
  <c r="L28" i="34"/>
  <c r="L30" i="1"/>
  <c r="M28" i="34"/>
  <c r="M30" i="1" s="1"/>
  <c r="N28" i="34"/>
  <c r="N30" i="1" s="1"/>
  <c r="O28" i="34"/>
  <c r="O30" i="1" s="1"/>
  <c r="P28" i="34"/>
  <c r="P30" i="1" s="1"/>
  <c r="Q28" i="34"/>
  <c r="Q30" i="1" s="1"/>
  <c r="R28" i="34"/>
  <c r="R30" i="1" s="1"/>
  <c r="N31" i="1"/>
  <c r="O15" i="32"/>
  <c r="O31" i="1" s="1"/>
  <c r="P15" i="32"/>
  <c r="P31" i="1"/>
  <c r="Q15" i="32"/>
  <c r="Q31" i="1" s="1"/>
  <c r="R15" i="32"/>
  <c r="R31" i="1"/>
  <c r="L19" i="30"/>
  <c r="L32" i="1" s="1"/>
  <c r="M19" i="30"/>
  <c r="M32" i="1" s="1"/>
  <c r="N32" i="1"/>
  <c r="O19" i="30"/>
  <c r="O32" i="1"/>
  <c r="P19" i="30"/>
  <c r="P32" i="1" s="1"/>
  <c r="Q19" i="30"/>
  <c r="Q32" i="1"/>
  <c r="R19" i="30"/>
  <c r="R32" i="1" s="1"/>
  <c r="K41" i="9"/>
  <c r="L8" i="33"/>
  <c r="L12" i="1" s="1"/>
  <c r="L20" i="31"/>
  <c r="L8" i="1" s="1"/>
  <c r="L21" i="29"/>
  <c r="L7" i="1"/>
  <c r="L20" i="28"/>
  <c r="L5" i="1"/>
  <c r="L12" i="30"/>
  <c r="L15" i="1" s="1"/>
  <c r="L19" i="34"/>
  <c r="L13" i="1" s="1"/>
  <c r="L10" i="26"/>
  <c r="L3" i="1" s="1"/>
  <c r="L26" i="35"/>
  <c r="L6" i="1"/>
  <c r="L27" i="9"/>
  <c r="L12" i="27"/>
  <c r="L4" i="1" s="1"/>
  <c r="L41" i="9"/>
  <c r="L9" i="1"/>
  <c r="V8" i="32"/>
  <c r="U8" i="32"/>
  <c r="T8" i="32"/>
  <c r="S8" i="32"/>
  <c r="S14" i="1"/>
  <c r="R8" i="32"/>
  <c r="R14" i="1" s="1"/>
  <c r="Q8" i="32"/>
  <c r="Q14" i="1"/>
  <c r="P8" i="32"/>
  <c r="P14" i="1" s="1"/>
  <c r="O8" i="32"/>
  <c r="O14" i="1"/>
  <c r="M26" i="35"/>
  <c r="M6" i="1" s="1"/>
  <c r="M8" i="33"/>
  <c r="M12" i="1" s="1"/>
  <c r="N27" i="9"/>
  <c r="M27" i="9"/>
  <c r="M20" i="31"/>
  <c r="M8" i="1"/>
  <c r="M12" i="27"/>
  <c r="M4" i="1"/>
  <c r="M21" i="29"/>
  <c r="M7" i="1" s="1"/>
  <c r="M19" i="34"/>
  <c r="M13" i="1"/>
  <c r="M10" i="26"/>
  <c r="M3" i="1" s="1"/>
  <c r="M20" i="28"/>
  <c r="M5" i="1"/>
  <c r="M41" i="9"/>
  <c r="M9" i="1"/>
  <c r="M12" i="30"/>
  <c r="M15" i="1"/>
  <c r="M21" i="25"/>
  <c r="M2" i="1" s="1"/>
  <c r="N21" i="25"/>
  <c r="N2" i="1" s="1"/>
  <c r="N10" i="26"/>
  <c r="N3" i="1" s="1"/>
  <c r="N12" i="27"/>
  <c r="N4" i="1" s="1"/>
  <c r="N20" i="28"/>
  <c r="N5" i="1" s="1"/>
  <c r="N26" i="35"/>
  <c r="N6" i="1" s="1"/>
  <c r="N21" i="29"/>
  <c r="N7" i="1" s="1"/>
  <c r="N20" i="31"/>
  <c r="N8" i="1"/>
  <c r="N18" i="36"/>
  <c r="N9" i="1" s="1"/>
  <c r="N8" i="33"/>
  <c r="N12" i="1" s="1"/>
  <c r="N19" i="34"/>
  <c r="N13" i="1"/>
  <c r="N15" i="1"/>
  <c r="V19" i="30"/>
  <c r="U19" i="30"/>
  <c r="V12" i="30"/>
  <c r="U12" i="30"/>
  <c r="N41" i="9"/>
  <c r="O20" i="31"/>
  <c r="O8" i="1" s="1"/>
  <c r="O41" i="9"/>
  <c r="R41" i="9"/>
  <c r="S41" i="9"/>
  <c r="T41" i="9"/>
  <c r="U41" i="9"/>
  <c r="V41" i="9"/>
  <c r="Q41" i="9"/>
  <c r="P41" i="9"/>
  <c r="O27" i="9"/>
  <c r="P27" i="9"/>
  <c r="O21" i="25"/>
  <c r="O2" i="1" s="1"/>
  <c r="O10" i="26"/>
  <c r="O3" i="1" s="1"/>
  <c r="O12" i="27"/>
  <c r="O4" i="1" s="1"/>
  <c r="O20" i="28"/>
  <c r="O5" i="1" s="1"/>
  <c r="O26" i="35"/>
  <c r="O6" i="1"/>
  <c r="O21" i="29"/>
  <c r="O7" i="1" s="1"/>
  <c r="O18" i="36"/>
  <c r="O9" i="1" s="1"/>
  <c r="O8" i="33"/>
  <c r="O12" i="1"/>
  <c r="O19" i="34"/>
  <c r="O13" i="1" s="1"/>
  <c r="O12" i="30"/>
  <c r="O15" i="1"/>
  <c r="P8" i="33"/>
  <c r="P12" i="1" s="1"/>
  <c r="P18" i="36"/>
  <c r="P9" i="1" s="1"/>
  <c r="P26" i="35"/>
  <c r="P6" i="1"/>
  <c r="P19" i="34"/>
  <c r="P13" i="1" s="1"/>
  <c r="P12" i="30"/>
  <c r="P15" i="1"/>
  <c r="P20" i="31"/>
  <c r="P8" i="1" s="1"/>
  <c r="P21" i="29"/>
  <c r="P7" i="1"/>
  <c r="P20" i="28"/>
  <c r="P5" i="1" s="1"/>
  <c r="P12" i="27"/>
  <c r="P4" i="1" s="1"/>
  <c r="P10" i="26"/>
  <c r="P3" i="1"/>
  <c r="P21" i="25"/>
  <c r="P2" i="1" s="1"/>
  <c r="Q21" i="29"/>
  <c r="Q7" i="1"/>
  <c r="Q21" i="25"/>
  <c r="Q2" i="1"/>
  <c r="Q10" i="26"/>
  <c r="Q3" i="1"/>
  <c r="Q12" i="27"/>
  <c r="Q4" i="1" s="1"/>
  <c r="Q20" i="28"/>
  <c r="Q5" i="1"/>
  <c r="Q26" i="35"/>
  <c r="Q6" i="1" s="1"/>
  <c r="Q20" i="31"/>
  <c r="Q8" i="1" s="1"/>
  <c r="Q18" i="36"/>
  <c r="Q9" i="1"/>
  <c r="Q8" i="33"/>
  <c r="Q12" i="1" s="1"/>
  <c r="Q19" i="34"/>
  <c r="Q13" i="1" s="1"/>
  <c r="Q12" i="30"/>
  <c r="Q15" i="1"/>
  <c r="Q43" i="2"/>
  <c r="Q42" i="2"/>
  <c r="Q41" i="2"/>
  <c r="Q40" i="2"/>
  <c r="Q39" i="2"/>
  <c r="Q38" i="2"/>
  <c r="Q37" i="2"/>
  <c r="Q36" i="2"/>
  <c r="Q27" i="9"/>
  <c r="R20" i="28"/>
  <c r="R5" i="1"/>
  <c r="R20" i="31"/>
  <c r="R8" i="1" s="1"/>
  <c r="T40" i="2"/>
  <c r="R43" i="2"/>
  <c r="R42" i="2"/>
  <c r="R41" i="2"/>
  <c r="R40" i="2"/>
  <c r="R39" i="2"/>
  <c r="R38" i="2"/>
  <c r="R37" i="2"/>
  <c r="R36" i="2"/>
  <c r="R27" i="9"/>
  <c r="R12" i="30"/>
  <c r="R15" i="1"/>
  <c r="R8" i="33"/>
  <c r="R12" i="1"/>
  <c r="R26" i="35"/>
  <c r="R6" i="1" s="1"/>
  <c r="R19" i="34"/>
  <c r="R13" i="1" s="1"/>
  <c r="R21" i="29"/>
  <c r="R7" i="1"/>
  <c r="R12" i="27"/>
  <c r="R4" i="1" s="1"/>
  <c r="R21" i="25"/>
  <c r="R2" i="1"/>
  <c r="R10" i="26"/>
  <c r="R3" i="1" s="1"/>
  <c r="R18" i="36"/>
  <c r="R9" i="1"/>
  <c r="S17" i="34"/>
  <c r="S19" i="34" s="1"/>
  <c r="S13" i="1" s="1"/>
  <c r="S30" i="2"/>
  <c r="V20" i="31"/>
  <c r="S8" i="33"/>
  <c r="S12" i="1"/>
  <c r="T12" i="30"/>
  <c r="S27" i="9"/>
  <c r="S36" i="2"/>
  <c r="S37" i="2"/>
  <c r="S38" i="2"/>
  <c r="S39" i="2"/>
  <c r="S40" i="2"/>
  <c r="S41" i="2"/>
  <c r="S43" i="2"/>
  <c r="S26" i="35"/>
  <c r="S6" i="1" s="1"/>
  <c r="S10" i="26"/>
  <c r="S3" i="1"/>
  <c r="S20" i="26"/>
  <c r="S17" i="33"/>
  <c r="S28" i="34"/>
  <c r="S21" i="25"/>
  <c r="S2" i="1" s="1"/>
  <c r="S12" i="27"/>
  <c r="S4" i="1"/>
  <c r="S20" i="28"/>
  <c r="S5" i="1"/>
  <c r="S21" i="29"/>
  <c r="S7" i="1" s="1"/>
  <c r="S20" i="31"/>
  <c r="S8" i="1" s="1"/>
  <c r="S18" i="36"/>
  <c r="S9" i="1" s="1"/>
  <c r="S12" i="30"/>
  <c r="S15" i="1" s="1"/>
  <c r="S19" i="30"/>
  <c r="S26" i="29"/>
  <c r="V21" i="27"/>
  <c r="U21" i="27"/>
  <c r="T21" i="27"/>
  <c r="S21" i="27"/>
  <c r="S25" i="36"/>
  <c r="S15" i="32"/>
  <c r="S29" i="31"/>
  <c r="T41" i="2"/>
  <c r="T38" i="2"/>
  <c r="T37" i="2"/>
  <c r="T36" i="2"/>
  <c r="T24" i="28"/>
  <c r="T26" i="28"/>
  <c r="T43" i="2" s="1"/>
  <c r="V25" i="36"/>
  <c r="U25" i="36"/>
  <c r="T25" i="36"/>
  <c r="V18" i="36"/>
  <c r="U18" i="36"/>
  <c r="T18" i="36"/>
  <c r="V28" i="34"/>
  <c r="U28" i="34"/>
  <c r="T28" i="34"/>
  <c r="V19" i="34"/>
  <c r="U19" i="34"/>
  <c r="T19" i="34"/>
  <c r="V17" i="33"/>
  <c r="U17" i="33"/>
  <c r="T17" i="33"/>
  <c r="V8" i="33"/>
  <c r="U8" i="33"/>
  <c r="T8" i="33"/>
  <c r="V15" i="32"/>
  <c r="U15" i="32"/>
  <c r="T15" i="32"/>
  <c r="T29" i="31"/>
  <c r="V29" i="31"/>
  <c r="U29" i="31"/>
  <c r="U20" i="31"/>
  <c r="T20" i="31"/>
  <c r="V20" i="26"/>
  <c r="U20" i="26"/>
  <c r="T20" i="26"/>
  <c r="V21" i="29"/>
  <c r="U21" i="29"/>
  <c r="T19" i="30"/>
  <c r="V26" i="29"/>
  <c r="U26" i="29"/>
  <c r="T26" i="29"/>
  <c r="V26" i="28"/>
  <c r="V24" i="28"/>
  <c r="V27" i="28" s="1"/>
  <c r="U24" i="28"/>
  <c r="U27" i="28" s="1"/>
  <c r="V20" i="28"/>
  <c r="U20" i="28"/>
  <c r="V12" i="27"/>
  <c r="U12" i="27"/>
  <c r="T12" i="27"/>
  <c r="V10" i="26"/>
  <c r="U10" i="26"/>
  <c r="T10" i="26"/>
  <c r="V21" i="25"/>
  <c r="U21" i="25"/>
  <c r="T21" i="25"/>
  <c r="T16" i="1"/>
  <c r="U16" i="1"/>
  <c r="T27" i="9"/>
  <c r="U27" i="9"/>
  <c r="V27" i="9"/>
  <c r="V16" i="1"/>
  <c r="T21" i="29"/>
  <c r="T20" i="28"/>
  <c r="K9" i="1"/>
  <c r="K6" i="1"/>
  <c r="K20" i="1"/>
  <c r="I22" i="1"/>
  <c r="J15" i="1"/>
  <c r="J30" i="2"/>
  <c r="I5" i="1"/>
  <c r="I4" i="1"/>
  <c r="J20" i="1"/>
  <c r="I6" i="1"/>
  <c r="I32" i="1"/>
  <c r="I15" i="1"/>
  <c r="H14" i="1"/>
  <c r="H31" i="1"/>
  <c r="H30" i="1"/>
  <c r="I20" i="31"/>
  <c r="H5" i="1"/>
  <c r="H3" i="1"/>
  <c r="I20" i="1"/>
  <c r="H2" i="1"/>
  <c r="I8" i="1"/>
  <c r="H29" i="1"/>
  <c r="H6" i="1"/>
  <c r="H15" i="1" l="1"/>
  <c r="J19" i="34"/>
  <c r="J13" i="1" s="1"/>
  <c r="T27" i="28"/>
  <c r="G9" i="1"/>
  <c r="G30" i="1"/>
  <c r="G31" i="1"/>
  <c r="G32" i="1"/>
  <c r="G15" i="1"/>
  <c r="G23" i="1"/>
  <c r="G6" i="1"/>
  <c r="G4" i="1"/>
  <c r="G29" i="1"/>
  <c r="G12" i="1"/>
  <c r="G8" i="1"/>
  <c r="H32" i="1"/>
  <c r="G14" i="1"/>
  <c r="G13" i="1"/>
  <c r="J33" i="1"/>
  <c r="R33" i="1"/>
  <c r="H20" i="31"/>
  <c r="G7" i="1"/>
  <c r="O44" i="2"/>
  <c r="K33" i="1"/>
  <c r="I16" i="1"/>
  <c r="P16" i="1"/>
  <c r="T39" i="2"/>
  <c r="T44" i="2" s="1"/>
  <c r="J16" i="1"/>
  <c r="L33" i="1"/>
  <c r="O33" i="1"/>
  <c r="P33" i="1"/>
  <c r="Q44" i="2"/>
  <c r="S44" i="2"/>
  <c r="R44" i="2"/>
  <c r="N33" i="1"/>
  <c r="I33" i="1"/>
  <c r="R32" i="2"/>
  <c r="K44" i="2"/>
  <c r="J44" i="2"/>
  <c r="P44" i="2"/>
  <c r="I44" i="2"/>
  <c r="G3" i="1"/>
  <c r="M32" i="2"/>
  <c r="L44" i="2"/>
  <c r="M33" i="1"/>
  <c r="M16" i="1"/>
  <c r="Q33" i="1"/>
  <c r="M44" i="2"/>
  <c r="H44" i="2"/>
  <c r="O16" i="1"/>
  <c r="L16" i="1"/>
  <c r="N44" i="2"/>
  <c r="Q16" i="1"/>
  <c r="S32" i="2"/>
  <c r="N16" i="1"/>
  <c r="R16" i="1"/>
  <c r="T32" i="2"/>
  <c r="P32" i="2"/>
  <c r="K21" i="25"/>
  <c r="K2" i="1" s="1"/>
  <c r="K16" i="1" s="1"/>
  <c r="J32" i="2"/>
  <c r="N32" i="2"/>
  <c r="L32" i="2"/>
  <c r="O32" i="2"/>
  <c r="K32" i="2"/>
  <c r="Q32" i="2"/>
  <c r="I32" i="2"/>
  <c r="G32" i="2"/>
  <c r="S16" i="1"/>
  <c r="G44" i="2"/>
  <c r="H32" i="2"/>
  <c r="G33" i="1" l="1"/>
  <c r="H33" i="1"/>
  <c r="H8" i="1"/>
  <c r="G16" i="1"/>
  <c r="H16" i="1" l="1"/>
</calcChain>
</file>

<file path=xl/sharedStrings.xml><?xml version="1.0" encoding="utf-8"?>
<sst xmlns="http://schemas.openxmlformats.org/spreadsheetml/2006/main" count="528" uniqueCount="184">
  <si>
    <t>Belgium</t>
  </si>
  <si>
    <t>The Netherlands</t>
  </si>
  <si>
    <t>Elstar</t>
  </si>
  <si>
    <t>Golden Delicious</t>
  </si>
  <si>
    <t>Boskoop</t>
  </si>
  <si>
    <t>Cox Orange</t>
  </si>
  <si>
    <t>Other</t>
  </si>
  <si>
    <t>Conference</t>
  </si>
  <si>
    <t>Austria (Steiermark)</t>
  </si>
  <si>
    <t>Gala</t>
  </si>
  <si>
    <t>Idared</t>
  </si>
  <si>
    <t>Braeburn</t>
  </si>
  <si>
    <t>Fuji</t>
  </si>
  <si>
    <t>Pinova</t>
  </si>
  <si>
    <t>Gloster</t>
  </si>
  <si>
    <t>Holsteiner Cox</t>
  </si>
  <si>
    <t>Italy</t>
  </si>
  <si>
    <t>Granny Smith</t>
  </si>
  <si>
    <t>Morgendurf/imperat</t>
  </si>
  <si>
    <t>Red Delicious</t>
  </si>
  <si>
    <t>Annurca</t>
  </si>
  <si>
    <t>Stayman</t>
  </si>
  <si>
    <t>Pink Lady</t>
  </si>
  <si>
    <t>TOTAL</t>
  </si>
  <si>
    <t>Apple Stocks (Ton)</t>
  </si>
  <si>
    <t>Pear Stocks (Ton)</t>
  </si>
  <si>
    <t>Jonagored</t>
  </si>
  <si>
    <t>Jonagold</t>
  </si>
  <si>
    <t>Germany</t>
  </si>
  <si>
    <t>Cameo</t>
  </si>
  <si>
    <t>Kaiser</t>
  </si>
  <si>
    <t>Czech Republic</t>
  </si>
  <si>
    <t>Poland</t>
  </si>
  <si>
    <t>Cortland</t>
  </si>
  <si>
    <t>Lobo</t>
  </si>
  <si>
    <t>Spartan</t>
  </si>
  <si>
    <t>Bramley</t>
  </si>
  <si>
    <t>Spain (Catalonia)</t>
  </si>
  <si>
    <t>Alexandrina</t>
  </si>
  <si>
    <t>Blanquilla</t>
  </si>
  <si>
    <t>Denmark</t>
  </si>
  <si>
    <t>Anjou</t>
  </si>
  <si>
    <t>Bosc</t>
  </si>
  <si>
    <t>Red Anjou</t>
  </si>
  <si>
    <t>Comice</t>
  </si>
  <si>
    <t>Seckel</t>
  </si>
  <si>
    <t>Other Reds</t>
  </si>
  <si>
    <t>Northwest Bartletts (Williams)</t>
  </si>
  <si>
    <t>Other Winter Varities</t>
  </si>
  <si>
    <t>Empire</t>
  </si>
  <si>
    <t>Jonathan</t>
  </si>
  <si>
    <t>McIntosh</t>
  </si>
  <si>
    <t>Mutsu/Crispin</t>
  </si>
  <si>
    <t>Newtown Pippin</t>
  </si>
  <si>
    <t>Northern Spy</t>
  </si>
  <si>
    <t>Rome</t>
  </si>
  <si>
    <t>Rome Sport</t>
  </si>
  <si>
    <t>Winesap</t>
  </si>
  <si>
    <t>York</t>
  </si>
  <si>
    <t>Others</t>
  </si>
  <si>
    <t>Switzerland</t>
  </si>
  <si>
    <t>Cripps Pink</t>
  </si>
  <si>
    <t>Content:</t>
  </si>
  <si>
    <t>US situation</t>
  </si>
  <si>
    <t>European situation per country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</si>
  <si>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</si>
  <si>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</si>
  <si>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</si>
  <si>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</si>
  <si>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</si>
  <si>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</si>
  <si>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</si>
  <si>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</si>
  <si>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SAPA</t>
  </si>
  <si>
    <t>France:</t>
  </si>
  <si>
    <t>Germany:</t>
  </si>
  <si>
    <t>Italy:</t>
  </si>
  <si>
    <t>ASSOMELA, CSO</t>
  </si>
  <si>
    <t>Poland:</t>
  </si>
  <si>
    <t>Switzerland:</t>
  </si>
  <si>
    <t>Spain:</t>
  </si>
  <si>
    <t>The Netherlands:</t>
  </si>
  <si>
    <t>United Kingdom:</t>
  </si>
  <si>
    <t>Productschap Tuinbouw</t>
  </si>
  <si>
    <t>SWISSCOFEL</t>
  </si>
  <si>
    <t>SOCIETY FOR PROMOTION OF DWARF FRUIT ORCHARDS</t>
  </si>
  <si>
    <t>Central Institute for Supervising and Testing in Agriculture, Division of perennial plants</t>
  </si>
  <si>
    <t>Other new varieties³</t>
  </si>
  <si>
    <t>Reinette Grise du Canada</t>
  </si>
  <si>
    <t>Shampion</t>
  </si>
  <si>
    <t>European situation per variety</t>
  </si>
  <si>
    <t>Variety (Ton)</t>
  </si>
  <si>
    <t>Total</t>
  </si>
  <si>
    <t>Doyenne du comice</t>
  </si>
  <si>
    <t>Arlet</t>
  </si>
  <si>
    <t>Kronprinz Rudolf</t>
  </si>
  <si>
    <t>Topaz</t>
  </si>
  <si>
    <t>Bellida</t>
  </si>
  <si>
    <t>Pigoen</t>
  </si>
  <si>
    <t>Ingrid Marie</t>
  </si>
  <si>
    <t>Doyenne</t>
  </si>
  <si>
    <t>Gloster*</t>
  </si>
  <si>
    <t>* From 2007 Gloster is included in others</t>
  </si>
  <si>
    <t>Abate Fetel</t>
  </si>
  <si>
    <t>Decana del C.</t>
  </si>
  <si>
    <t>Morgenduft</t>
  </si>
  <si>
    <t>Renette</t>
  </si>
  <si>
    <t>Jonagold (incl. Jonagored)</t>
  </si>
  <si>
    <t>Fuji Group</t>
  </si>
  <si>
    <t>Gala Group</t>
  </si>
  <si>
    <t>Golden Group</t>
  </si>
  <si>
    <t>Llimonera</t>
  </si>
  <si>
    <t>Glockenapfel</t>
  </si>
  <si>
    <t>Kanada Reinette</t>
  </si>
  <si>
    <t>Maigold</t>
  </si>
  <si>
    <t>Rubinette</t>
  </si>
  <si>
    <t>Boscs Flaschenbirne</t>
  </si>
  <si>
    <t>Gute Luise</t>
  </si>
  <si>
    <t>European countries by variety</t>
  </si>
  <si>
    <t>Reine de renettes</t>
  </si>
  <si>
    <t>Ariane</t>
  </si>
  <si>
    <t>Pear Stocks  (Ton)</t>
  </si>
  <si>
    <t>Reinette</t>
  </si>
  <si>
    <t>Other new varieties*</t>
  </si>
  <si>
    <t>Tentation</t>
  </si>
  <si>
    <t>Belchard/Chantecler</t>
  </si>
  <si>
    <t>Rouges</t>
  </si>
  <si>
    <t>Jazz</t>
  </si>
  <si>
    <t>Honey Crunch</t>
  </si>
  <si>
    <t>Sundowner</t>
  </si>
  <si>
    <t>AMI</t>
  </si>
  <si>
    <t>ANPP</t>
  </si>
  <si>
    <t>France</t>
  </si>
  <si>
    <t>Red Jonaprince</t>
  </si>
  <si>
    <t>Other new varieties</t>
  </si>
  <si>
    <t>Denmark:</t>
  </si>
  <si>
    <t>Goldrush</t>
  </si>
  <si>
    <t>Angelys</t>
  </si>
  <si>
    <t>Beurré Hardy</t>
  </si>
  <si>
    <t>Guyot</t>
  </si>
  <si>
    <t>Passe Crassane</t>
  </si>
  <si>
    <t>Williams</t>
  </si>
  <si>
    <t>Club varieties</t>
  </si>
  <si>
    <t>APRIL</t>
  </si>
  <si>
    <t>Portugal:</t>
  </si>
  <si>
    <t>ANP - Associação Nacional de Produtores de Pera Rocha</t>
  </si>
  <si>
    <t>Portugal</t>
  </si>
  <si>
    <t>Rocha</t>
  </si>
  <si>
    <t xml:space="preserve">* Other new varieties: Ariane, Belgica, Cameo, Diwa, Greenstar, Goldrush, Honey Crunch, Jazz, Junami, Kanzi, Mairac, Rubens, Tentation (temptation), Wellant, ... </t>
  </si>
  <si>
    <t>Golden Delicius</t>
  </si>
  <si>
    <t>Choupette</t>
  </si>
  <si>
    <t>Concorde</t>
  </si>
  <si>
    <t>Ingrid Marid</t>
  </si>
  <si>
    <t>Evelina</t>
  </si>
  <si>
    <t>Bohemica</t>
  </si>
  <si>
    <t>Lucasova</t>
  </si>
  <si>
    <t>Doyenne du Comice</t>
  </si>
  <si>
    <t>Ligol</t>
  </si>
  <si>
    <t>AFRUCAT</t>
  </si>
  <si>
    <t>Honeycrisp</t>
  </si>
  <si>
    <t>** From 12/2014 Cox's is included in others</t>
  </si>
  <si>
    <t>Cox**</t>
  </si>
  <si>
    <t>Durondeau</t>
  </si>
  <si>
    <t>*Rocha pears are compared per two months, hence the next update will be in May.</t>
  </si>
  <si>
    <t>** As of the 2016/ 2017 season, the UK works with a different methodology, which is why the figures are not comparable.</t>
  </si>
  <si>
    <t>Forelle</t>
  </si>
  <si>
    <t>United Kingdom**</t>
  </si>
  <si>
    <t>Portugal*</t>
  </si>
  <si>
    <t>Please note that this is just indication. There might be a difference of +- 10%</t>
  </si>
  <si>
    <t>Variety: Gloster, Idared was send mostly to industry</t>
  </si>
  <si>
    <t>British Apples &amp; Pears</t>
  </si>
  <si>
    <t>Cosmic Crisp</t>
  </si>
  <si>
    <t xml:space="preserve">Granny Smith </t>
  </si>
  <si>
    <t>Mairac, Rubens, Tentation (temptation), Wellant, ... (specify if other)</t>
  </si>
  <si>
    <t>³ Other new varieties: Ariane, Belgica, Cameo, Diwa, Greenstar, Honey Crunch, Jazz, Junami, Kanzi,</t>
  </si>
  <si>
    <t>Slovakia</t>
  </si>
  <si>
    <t>Beurre Alexander Lucas</t>
  </si>
  <si>
    <t>Overview Northern Hemisphere apple and pear stocks 2022-2023</t>
  </si>
  <si>
    <t>Moved 2023</t>
  </si>
  <si>
    <t>* Portugal: Rocha stocks are compared per two months, in this case to stocks of 1 January</t>
  </si>
  <si>
    <t>*** Starting from the 2022-2023 season, Italian pears work with a different methodology, which is why the figures are not comparable with previous years.</t>
  </si>
  <si>
    <t>Italy***</t>
  </si>
  <si>
    <t>%2024/2023</t>
  </si>
  <si>
    <t>Moved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</si>
</sst>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2" fillId="4" borderId="0" applyNumberFormat="0" applyBorder="0" applyAlignment="0" applyProtection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133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14" fontId="1" fillId="0" borderId="0" xfId="0" applyNumberFormat="1" applyFon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0" fillId="0" borderId="0" xfId="0" quotePrefix="1"/>
    <xf numFmtId="0" fontId="7" fillId="0" borderId="0" xfId="0" applyFont="1"/>
    <xf numFmtId="0" fontId="0" fillId="2" borderId="2" xfId="0" applyFill="1" applyBorder="1"/>
    <xf numFmtId="0" fontId="0" fillId="2" borderId="2" xfId="0" quotePrefix="1" applyFill="1" applyBorder="1"/>
    <xf numFmtId="0" fontId="0" fillId="2" borderId="3" xfId="0" quotePrefix="1" applyFill="1" applyBorder="1"/>
    <xf numFmtId="0" fontId="1" fillId="2" borderId="4" xfId="0" applyFont="1" applyFill="1" applyBorder="1"/>
    <xf numFmtId="0" fontId="1" fillId="3" borderId="5" xfId="0" applyFont="1" applyFill="1" applyBorder="1"/>
    <xf numFmtId="14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/>
    <xf numFmtId="3" fontId="0" fillId="0" borderId="7" xfId="0" applyNumberFormat="1" applyBorder="1"/>
    <xf numFmtId="0" fontId="0" fillId="2" borderId="3" xfId="0" applyFill="1" applyBorder="1"/>
    <xf numFmtId="3" fontId="0" fillId="0" borderId="8" xfId="0" applyNumberFormat="1" applyBorder="1"/>
    <xf numFmtId="0" fontId="1" fillId="2" borderId="3" xfId="0" applyFont="1" applyFill="1" applyBorder="1"/>
    <xf numFmtId="164" fontId="1" fillId="3" borderId="1" xfId="0" applyNumberFormat="1" applyFont="1" applyFill="1" applyBorder="1"/>
    <xf numFmtId="3" fontId="1" fillId="0" borderId="1" xfId="0" applyNumberFormat="1" applyFont="1" applyBorder="1"/>
    <xf numFmtId="3" fontId="1" fillId="0" borderId="8" xfId="0" applyNumberFormat="1" applyFont="1" applyBorder="1"/>
    <xf numFmtId="164" fontId="0" fillId="0" borderId="0" xfId="0" applyNumberFormat="1"/>
    <xf numFmtId="3" fontId="3" fillId="0" borderId="0" xfId="0" applyNumberFormat="1" applyFont="1"/>
    <xf numFmtId="0" fontId="1" fillId="5" borderId="4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1" fillId="5" borderId="3" xfId="0" applyFont="1" applyFill="1" applyBorder="1"/>
    <xf numFmtId="3" fontId="3" fillId="6" borderId="1" xfId="0" applyNumberFormat="1" applyFont="1" applyFill="1" applyBorder="1"/>
    <xf numFmtId="3" fontId="1" fillId="0" borderId="5" xfId="0" applyNumberFormat="1" applyFont="1" applyBorder="1"/>
    <xf numFmtId="164" fontId="3" fillId="7" borderId="0" xfId="0" applyNumberFormat="1" applyFont="1" applyFill="1"/>
    <xf numFmtId="164" fontId="3" fillId="7" borderId="1" xfId="0" applyNumberFormat="1" applyFont="1" applyFill="1" applyBorder="1"/>
    <xf numFmtId="0" fontId="3" fillId="0" borderId="0" xfId="2"/>
    <xf numFmtId="0" fontId="1" fillId="5" borderId="4" xfId="2" applyFont="1" applyFill="1" applyBorder="1"/>
    <xf numFmtId="0" fontId="3" fillId="5" borderId="2" xfId="2" applyFill="1" applyBorder="1"/>
    <xf numFmtId="164" fontId="3" fillId="7" borderId="0" xfId="2" applyNumberFormat="1" applyFill="1"/>
    <xf numFmtId="3" fontId="3" fillId="0" borderId="0" xfId="2" applyNumberFormat="1"/>
    <xf numFmtId="0" fontId="3" fillId="5" borderId="3" xfId="2" applyFill="1" applyBorder="1"/>
    <xf numFmtId="164" fontId="3" fillId="7" borderId="1" xfId="2" applyNumberFormat="1" applyFill="1" applyBorder="1"/>
    <xf numFmtId="3" fontId="3" fillId="6" borderId="1" xfId="2" applyNumberFormat="1" applyFill="1" applyBorder="1"/>
    <xf numFmtId="3" fontId="3" fillId="0" borderId="1" xfId="2" applyNumberFormat="1" applyBorder="1"/>
    <xf numFmtId="0" fontId="1" fillId="5" borderId="3" xfId="2" applyFont="1" applyFill="1" applyBorder="1"/>
    <xf numFmtId="164" fontId="1" fillId="7" borderId="5" xfId="2" applyNumberFormat="1" applyFont="1" applyFill="1" applyBorder="1"/>
    <xf numFmtId="3" fontId="1" fillId="6" borderId="5" xfId="2" applyNumberFormat="1" applyFont="1" applyFill="1" applyBorder="1"/>
    <xf numFmtId="3" fontId="3" fillId="0" borderId="5" xfId="2" applyNumberFormat="1" applyBorder="1"/>
    <xf numFmtId="3" fontId="3" fillId="0" borderId="7" xfId="0" applyNumberFormat="1" applyFont="1" applyBorder="1"/>
    <xf numFmtId="3" fontId="3" fillId="0" borderId="7" xfId="2" applyNumberFormat="1" applyBorder="1"/>
    <xf numFmtId="3" fontId="3" fillId="0" borderId="8" xfId="2" applyNumberFormat="1" applyBorder="1"/>
    <xf numFmtId="3" fontId="3" fillId="0" borderId="6" xfId="2" applyNumberFormat="1" applyBorder="1"/>
    <xf numFmtId="0" fontId="3" fillId="2" borderId="2" xfId="0" applyFont="1" applyFill="1" applyBorder="1"/>
    <xf numFmtId="3" fontId="3" fillId="0" borderId="1" xfId="0" applyNumberFormat="1" applyFont="1" applyBorder="1"/>
    <xf numFmtId="3" fontId="3" fillId="0" borderId="8" xfId="0" applyNumberFormat="1" applyFont="1" applyBorder="1"/>
    <xf numFmtId="0" fontId="13" fillId="0" borderId="0" xfId="0" applyFont="1"/>
    <xf numFmtId="0" fontId="1" fillId="0" borderId="0" xfId="2" applyFont="1"/>
    <xf numFmtId="164" fontId="1" fillId="7" borderId="1" xfId="0" applyNumberFormat="1" applyFont="1" applyFill="1" applyBorder="1"/>
    <xf numFmtId="0" fontId="1" fillId="0" borderId="5" xfId="0" applyFont="1" applyBorder="1"/>
    <xf numFmtId="3" fontId="0" fillId="0" borderId="0" xfId="0" quotePrefix="1" applyNumberFormat="1"/>
    <xf numFmtId="3" fontId="0" fillId="0" borderId="1" xfId="0" quotePrefix="1" applyNumberForma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" fillId="0" borderId="5" xfId="2" applyNumberFormat="1" applyFont="1" applyBorder="1"/>
    <xf numFmtId="3" fontId="1" fillId="0" borderId="6" xfId="2" applyNumberFormat="1" applyFont="1" applyBorder="1"/>
    <xf numFmtId="3" fontId="0" fillId="0" borderId="0" xfId="0" applyNumberFormat="1" applyAlignment="1">
      <alignment horizontal="right"/>
    </xf>
    <xf numFmtId="164" fontId="1" fillId="7" borderId="1" xfId="2" applyNumberFormat="1" applyFont="1" applyFill="1" applyBorder="1"/>
    <xf numFmtId="164" fontId="3" fillId="7" borderId="5" xfId="2" applyNumberFormat="1" applyFill="1" applyBorder="1"/>
    <xf numFmtId="3" fontId="1" fillId="0" borderId="6" xfId="0" applyNumberFormat="1" applyFont="1" applyBorder="1"/>
    <xf numFmtId="0" fontId="3" fillId="5" borderId="9" xfId="2" applyFill="1" applyBorder="1"/>
    <xf numFmtId="164" fontId="3" fillId="7" borderId="10" xfId="2" applyNumberFormat="1" applyFill="1" applyBorder="1"/>
    <xf numFmtId="3" fontId="3" fillId="0" borderId="10" xfId="2" applyNumberFormat="1" applyBorder="1"/>
    <xf numFmtId="3" fontId="3" fillId="0" borderId="11" xfId="2" applyNumberFormat="1" applyBorder="1"/>
    <xf numFmtId="3" fontId="3" fillId="0" borderId="7" xfId="0" applyNumberFormat="1" applyFont="1" applyBorder="1" applyAlignment="1">
      <alignment horizontal="right"/>
    </xf>
    <xf numFmtId="3" fontId="1" fillId="6" borderId="1" xfId="0" applyNumberFormat="1" applyFont="1" applyFill="1" applyBorder="1"/>
    <xf numFmtId="3" fontId="1" fillId="0" borderId="1" xfId="2" applyNumberFormat="1" applyFont="1" applyBorder="1"/>
    <xf numFmtId="3" fontId="8" fillId="0" borderId="0" xfId="0" applyNumberFormat="1" applyFont="1" applyAlignment="1">
      <alignment horizontal="center"/>
    </xf>
    <xf numFmtId="14" fontId="1" fillId="0" borderId="5" xfId="2" applyNumberFormat="1" applyFont="1" applyBorder="1" applyAlignment="1">
      <alignment horizontal="center"/>
    </xf>
    <xf numFmtId="14" fontId="1" fillId="0" borderId="6" xfId="2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0" fillId="6" borderId="0" xfId="0" applyNumberFormat="1" applyFill="1"/>
    <xf numFmtId="3" fontId="12" fillId="0" borderId="0" xfId="1" applyNumberFormat="1" applyFill="1" applyBorder="1"/>
    <xf numFmtId="3" fontId="12" fillId="0" borderId="7" xfId="1" applyNumberFormat="1" applyFill="1" applyBorder="1"/>
    <xf numFmtId="3" fontId="0" fillId="6" borderId="1" xfId="0" applyNumberFormat="1" applyFill="1" applyBorder="1"/>
    <xf numFmtId="164" fontId="0" fillId="3" borderId="5" xfId="0" applyNumberFormat="1" applyFill="1" applyBorder="1"/>
    <xf numFmtId="164" fontId="3" fillId="8" borderId="0" xfId="0" applyNumberFormat="1" applyFont="1" applyFill="1"/>
    <xf numFmtId="3" fontId="3" fillId="6" borderId="10" xfId="2" applyNumberFormat="1" applyFill="1" applyBorder="1"/>
    <xf numFmtId="3" fontId="1" fillId="6" borderId="1" xfId="2" applyNumberFormat="1" applyFont="1" applyFill="1" applyBorder="1"/>
    <xf numFmtId="3" fontId="1" fillId="0" borderId="5" xfId="0" applyNumberFormat="1" applyFont="1" applyBorder="1" applyAlignment="1">
      <alignment horizontal="right"/>
    </xf>
    <xf numFmtId="3" fontId="3" fillId="0" borderId="0" xfId="0" quotePrefix="1" applyNumberFormat="1" applyFont="1"/>
    <xf numFmtId="14" fontId="1" fillId="0" borderId="5" xfId="0" applyNumberFormat="1" applyFont="1" applyBorder="1"/>
    <xf numFmtId="164" fontId="3" fillId="0" borderId="0" xfId="0" applyNumberFormat="1" applyFont="1"/>
    <xf numFmtId="164" fontId="1" fillId="0" borderId="5" xfId="0" applyNumberFormat="1" applyFont="1" applyBorder="1"/>
    <xf numFmtId="164" fontId="3" fillId="0" borderId="0" xfId="2" applyNumberFormat="1"/>
    <xf numFmtId="164" fontId="1" fillId="0" borderId="5" xfId="2" applyNumberFormat="1" applyFont="1" applyBorder="1"/>
    <xf numFmtId="164" fontId="3" fillId="6" borderId="0" xfId="0" applyNumberFormat="1" applyFont="1" applyFill="1"/>
    <xf numFmtId="164" fontId="1" fillId="6" borderId="5" xfId="0" applyNumberFormat="1" applyFont="1" applyFill="1" applyBorder="1"/>
    <xf numFmtId="3" fontId="0" fillId="8" borderId="1" xfId="0" applyNumberFormat="1" applyFill="1" applyBorder="1"/>
    <xf numFmtId="3" fontId="0" fillId="8" borderId="0" xfId="0" applyNumberFormat="1" applyFill="1"/>
    <xf numFmtId="3" fontId="3" fillId="8" borderId="0" xfId="0" applyNumberFormat="1" applyFont="1" applyFill="1"/>
    <xf numFmtId="3" fontId="3" fillId="8" borderId="1" xfId="0" applyNumberFormat="1" applyFont="1" applyFill="1" applyBorder="1"/>
    <xf numFmtId="3" fontId="3" fillId="8" borderId="5" xfId="0" applyNumberFormat="1" applyFont="1" applyFill="1" applyBorder="1"/>
    <xf numFmtId="3" fontId="0" fillId="8" borderId="10" xfId="0" applyNumberFormat="1" applyFill="1" applyBorder="1"/>
    <xf numFmtId="0" fontId="10" fillId="0" borderId="0" xfId="0" applyFont="1"/>
    <xf numFmtId="3" fontId="1" fillId="8" borderId="5" xfId="0" applyNumberFormat="1" applyFont="1" applyFill="1" applyBorder="1"/>
    <xf numFmtId="164" fontId="3" fillId="6" borderId="0" xfId="2" applyNumberFormat="1" applyFill="1"/>
    <xf numFmtId="164" fontId="1" fillId="6" borderId="5" xfId="2" applyNumberFormat="1" applyFont="1" applyFill="1" applyBorder="1"/>
    <xf numFmtId="0" fontId="3" fillId="7" borderId="0" xfId="0" applyFont="1" applyFill="1"/>
    <xf numFmtId="0" fontId="3" fillId="7" borderId="5" xfId="0" applyFont="1" applyFill="1" applyBorder="1"/>
    <xf numFmtId="164" fontId="1" fillId="8" borderId="5" xfId="0" applyNumberFormat="1" applyFont="1" applyFill="1" applyBorder="1"/>
    <xf numFmtId="3" fontId="0" fillId="0" borderId="10" xfId="0" applyNumberFormat="1" applyBorder="1"/>
    <xf numFmtId="164" fontId="1" fillId="3" borderId="5" xfId="0" applyNumberFormat="1" applyFont="1" applyFill="1" applyBorder="1"/>
    <xf numFmtId="3" fontId="3" fillId="6" borderId="0" xfId="0" applyNumberFormat="1" applyFont="1" applyFill="1"/>
    <xf numFmtId="3" fontId="1" fillId="6" borderId="5" xfId="0" applyNumberFormat="1" applyFont="1" applyFill="1" applyBorder="1"/>
    <xf numFmtId="0" fontId="1" fillId="8" borderId="5" xfId="0" applyFont="1" applyFill="1" applyBorder="1"/>
    <xf numFmtId="3" fontId="3" fillId="6" borderId="0" xfId="2" applyNumberFormat="1" applyFill="1"/>
    <xf numFmtId="14" fontId="1" fillId="6" borderId="5" xfId="0" applyNumberFormat="1" applyFont="1" applyFill="1" applyBorder="1"/>
    <xf numFmtId="164" fontId="1" fillId="7" borderId="5" xfId="0" applyNumberFormat="1" applyFont="1" applyFill="1" applyBorder="1"/>
    <xf numFmtId="3" fontId="1" fillId="8" borderId="1" xfId="0" applyNumberFormat="1" applyFont="1" applyFill="1" applyBorder="1"/>
    <xf numFmtId="0" fontId="3" fillId="7" borderId="0" xfId="2" applyFill="1"/>
    <xf numFmtId="0" fontId="0" fillId="5" borderId="2" xfId="0" applyFill="1" applyBorder="1"/>
    <xf numFmtId="0" fontId="0" fillId="5" borderId="3" xfId="0" applyFill="1" applyBorder="1"/>
  </cellXfs>
  <cellStyles count="8">
    <cellStyle name="Bad" xfId="1" builtinId="27"/>
    <cellStyle name="Normal" xfId="0" builtinId="0"/>
    <cellStyle name="Normal 2" xfId="2" xr:uid="{00000000-0005-0000-0000-000002000000}"/>
    <cellStyle name="Normale 4" xfId="3" xr:uid="{00000000-0005-0000-0000-000003000000}"/>
    <cellStyle name="Normale 4 2" xfId="4" xr:uid="{00000000-0005-0000-0000-000004000000}"/>
    <cellStyle name="Normale 7" xfId="5" xr:uid="{00000000-0005-0000-0000-000005000000}"/>
    <cellStyle name="Normale_4_uesto_pere" xfId="6" xr:uid="{00000000-0005-0000-0000-000006000000}"/>
    <cellStyle name="Standard 2" xfId="7" xr:uid="{00000000-0005-0000-0000-000007000000}"/>
  </cellStyles>
  <dxfs count="3">
    <dxf>
      <font>
        <color theme="0"/>
      </font>
    </dxf>
    <dxf>
      <font>
        <color theme="2"/>
      </font>
      <fill>
        <patternFill>
          <bgColor theme="0" tint="-0.34998626667073579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525780</xdr:colOff>
      <xdr:row>16</xdr:row>
      <xdr:rowOff>22860</xdr:rowOff>
    </xdr:to>
    <xdr:pic>
      <xdr:nvPicPr>
        <xdr:cNvPr id="21780" name="Picture 6" descr="WAPA FINAL">
          <a:extLst>
            <a:ext uri="{FF2B5EF4-FFF2-40B4-BE49-F238E27FC236}">
              <a16:creationId xmlns:a16="http://schemas.microsoft.com/office/drawing/2014/main" id="{1870A166-765D-DB21-4542-786EAE6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335280"/>
          <a:ext cx="2385060" cy="236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9:G39"/>
  <sheetViews>
    <sheetView zoomScale="90" zoomScaleNormal="90" workbookViewId="0"/>
  </sheetViews>
  <sheetFormatPr defaultColWidth="8.77734375" defaultRowHeight="13.2" x14ac:dyDescent="0.25"/>
  <cols>
    <col min="1" max="2" width="8.77734375" customWidth="1"/>
    <col min="3" max="3" width="18.33203125" customWidth="1"/>
  </cols>
  <sheetData>
    <row r="19" spans="2:7" x14ac:dyDescent="0.25">
      <c r="B19" s="3" t="s">
        <v>177</v>
      </c>
      <c r="G19" s="8" t="s">
        <v>143</v>
      </c>
    </row>
    <row r="21" spans="2:7" x14ac:dyDescent="0.25">
      <c r="B21" t="s">
        <v>62</v>
      </c>
      <c r="C21" t="s">
        <v>63</v>
      </c>
    </row>
    <row r="22" spans="2:7" x14ac:dyDescent="0.25">
      <c r="C22" t="s">
        <v>64</v>
      </c>
    </row>
    <row r="23" spans="2:7" x14ac:dyDescent="0.25">
      <c r="C23" t="s">
        <v>90</v>
      </c>
    </row>
    <row r="24" spans="2:7" x14ac:dyDescent="0.25">
      <c r="C24" s="3" t="s">
        <v>118</v>
      </c>
    </row>
    <row r="26" spans="2:7" x14ac:dyDescent="0.25">
      <c r="B26" t="s">
        <v>65</v>
      </c>
      <c r="C26" t="s">
        <v>66</v>
      </c>
      <c r="D26" t="s">
        <v>67</v>
      </c>
    </row>
    <row r="27" spans="2:7" x14ac:dyDescent="0.25">
      <c r="C27" t="s">
        <v>68</v>
      </c>
      <c r="D27" t="s">
        <v>69</v>
      </c>
    </row>
    <row r="28" spans="2:7" x14ac:dyDescent="0.25">
      <c r="C28" t="s">
        <v>70</v>
      </c>
      <c r="D28" t="s">
        <v>71</v>
      </c>
    </row>
    <row r="29" spans="2:7" x14ac:dyDescent="0.25">
      <c r="C29" t="s">
        <v>72</v>
      </c>
      <c r="D29" s="3" t="s">
        <v>86</v>
      </c>
    </row>
    <row r="30" spans="2:7" x14ac:dyDescent="0.25">
      <c r="C30" s="3" t="s">
        <v>135</v>
      </c>
      <c r="D30" t="s">
        <v>73</v>
      </c>
    </row>
    <row r="31" spans="2:7" x14ac:dyDescent="0.25">
      <c r="C31" t="s">
        <v>74</v>
      </c>
      <c r="D31" t="s">
        <v>131</v>
      </c>
    </row>
    <row r="32" spans="2:7" x14ac:dyDescent="0.25">
      <c r="C32" t="s">
        <v>75</v>
      </c>
      <c r="D32" t="s">
        <v>130</v>
      </c>
    </row>
    <row r="33" spans="3:4" x14ac:dyDescent="0.25">
      <c r="C33" t="s">
        <v>76</v>
      </c>
      <c r="D33" t="s">
        <v>77</v>
      </c>
    </row>
    <row r="34" spans="3:4" x14ac:dyDescent="0.25">
      <c r="C34" t="s">
        <v>78</v>
      </c>
      <c r="D34" s="19" t="s">
        <v>85</v>
      </c>
    </row>
    <row r="35" spans="3:4" x14ac:dyDescent="0.25">
      <c r="C35" t="s">
        <v>144</v>
      </c>
      <c r="D35" s="19" t="s">
        <v>145</v>
      </c>
    </row>
    <row r="36" spans="3:4" x14ac:dyDescent="0.25">
      <c r="C36" t="s">
        <v>80</v>
      </c>
      <c r="D36" t="s">
        <v>158</v>
      </c>
    </row>
    <row r="37" spans="3:4" x14ac:dyDescent="0.25">
      <c r="C37" t="s">
        <v>79</v>
      </c>
      <c r="D37" t="s">
        <v>84</v>
      </c>
    </row>
    <row r="38" spans="3:4" x14ac:dyDescent="0.25">
      <c r="C38" t="s">
        <v>81</v>
      </c>
      <c r="D38" t="s">
        <v>83</v>
      </c>
    </row>
    <row r="39" spans="3:4" x14ac:dyDescent="0.25">
      <c r="C39" t="s">
        <v>82</v>
      </c>
      <c r="D39" t="s">
        <v>170</v>
      </c>
    </row>
  </sheetData>
  <phoneticPr fontId="2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9"/>
  <sheetViews>
    <sheetView zoomScaleNormal="100"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3" width="11.6640625" bestFit="1" customWidth="1"/>
    <col min="4" max="4" width="11.6640625" style="3" bestFit="1" customWidth="1"/>
    <col min="5" max="10" width="11.6640625" style="3" customWidth="1"/>
    <col min="11" max="11" width="11.77734375" customWidth="1"/>
    <col min="12" max="12" width="10.77734375" customWidth="1"/>
    <col min="13" max="22" width="10.109375" bestFit="1" customWidth="1"/>
  </cols>
  <sheetData>
    <row r="1" spans="1:27" ht="13.8" thickBot="1" x14ac:dyDescent="0.3">
      <c r="A1" s="23" t="s">
        <v>24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5">
        <v>40269</v>
      </c>
      <c r="T1" s="25">
        <v>39904</v>
      </c>
      <c r="U1" s="25">
        <v>39539</v>
      </c>
      <c r="V1" s="26">
        <v>39173</v>
      </c>
    </row>
    <row r="2" spans="1:27" x14ac:dyDescent="0.25">
      <c r="A2" s="20" t="s">
        <v>11</v>
      </c>
      <c r="B2" s="27" t="str">
        <f>IFERROR(((E2-F2)/F2),"")</f>
        <v/>
      </c>
      <c r="C2" s="110">
        <v>0</v>
      </c>
      <c r="D2" s="37">
        <v>0</v>
      </c>
      <c r="E2" s="123"/>
      <c r="F2" s="37"/>
      <c r="G2" s="37">
        <v>981.02510679599993</v>
      </c>
      <c r="H2" s="37">
        <v>2359.6030000000001</v>
      </c>
      <c r="I2" s="37">
        <v>3525</v>
      </c>
      <c r="J2" s="37">
        <v>4116</v>
      </c>
      <c r="K2" s="1">
        <v>3354</v>
      </c>
      <c r="L2" s="1">
        <v>5221</v>
      </c>
      <c r="M2" s="1">
        <v>2515</v>
      </c>
      <c r="N2" s="1">
        <v>14540</v>
      </c>
      <c r="O2" s="1">
        <v>4097</v>
      </c>
      <c r="P2" s="1">
        <v>10271</v>
      </c>
      <c r="Q2" s="1">
        <v>8099</v>
      </c>
      <c r="R2" s="1">
        <v>22143.375680580761</v>
      </c>
      <c r="S2" s="1">
        <v>16464.609800362978</v>
      </c>
      <c r="T2" s="1">
        <v>23267.695099818513</v>
      </c>
      <c r="U2" s="1">
        <v>18465.517241379312</v>
      </c>
      <c r="V2" s="29">
        <v>13072.595281306714</v>
      </c>
      <c r="Z2" s="1"/>
      <c r="AA2" s="1"/>
    </row>
    <row r="3" spans="1:27" x14ac:dyDescent="0.25">
      <c r="A3" s="20" t="s">
        <v>33</v>
      </c>
      <c r="B3" s="27">
        <f t="shared" ref="B3:B27" si="0">IFERROR(((E3-F3)/F3),"")</f>
        <v>0.34658285974825354</v>
      </c>
      <c r="C3" s="110">
        <v>-379.09345196645995</v>
      </c>
      <c r="D3" s="37">
        <v>-1002.41917963572</v>
      </c>
      <c r="E3" s="123">
        <v>1575.4124835603</v>
      </c>
      <c r="F3" s="37">
        <v>1169.93356343094</v>
      </c>
      <c r="G3" s="37">
        <v>839.76282566399993</v>
      </c>
      <c r="H3" s="37">
        <v>1715.769</v>
      </c>
      <c r="I3" s="37">
        <v>877</v>
      </c>
      <c r="J3" s="37">
        <v>2477</v>
      </c>
      <c r="K3" s="1">
        <v>1277</v>
      </c>
      <c r="L3" s="1">
        <v>858</v>
      </c>
      <c r="M3" s="1">
        <v>2401</v>
      </c>
      <c r="N3" s="1">
        <v>1467</v>
      </c>
      <c r="O3" s="1">
        <v>1925</v>
      </c>
      <c r="P3" s="1">
        <v>133</v>
      </c>
      <c r="Q3" s="1">
        <v>838</v>
      </c>
      <c r="R3" s="1">
        <v>1276.7695099818511</v>
      </c>
      <c r="S3" s="1">
        <v>1048.0943738656988</v>
      </c>
      <c r="T3" s="1">
        <v>2000.9074410163339</v>
      </c>
      <c r="U3" s="1">
        <v>2115.2450090744101</v>
      </c>
      <c r="V3" s="29">
        <v>838.47549909255895</v>
      </c>
      <c r="Z3" s="1"/>
      <c r="AA3" s="1"/>
    </row>
    <row r="4" spans="1:27" x14ac:dyDescent="0.25">
      <c r="A4" s="20" t="s">
        <v>171</v>
      </c>
      <c r="B4" s="27">
        <f t="shared" si="0"/>
        <v>0.45578218247195568</v>
      </c>
      <c r="C4" s="110">
        <v>-11593.831863416868</v>
      </c>
      <c r="D4" s="37">
        <v>-11531.992708430043</v>
      </c>
      <c r="E4" s="123">
        <v>99790.316864076303</v>
      </c>
      <c r="F4" s="37">
        <v>68547.560250139737</v>
      </c>
      <c r="G4" s="37">
        <v>43166.724023891999</v>
      </c>
      <c r="H4" s="37">
        <v>11070.772999999999</v>
      </c>
      <c r="I4" s="37">
        <v>0</v>
      </c>
      <c r="J4" s="3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9"/>
      <c r="Z4" s="1"/>
      <c r="AA4" s="1"/>
    </row>
    <row r="5" spans="1:27" x14ac:dyDescent="0.25">
      <c r="A5" s="20" t="s">
        <v>49</v>
      </c>
      <c r="B5" s="27">
        <f t="shared" si="0"/>
        <v>0.19505994282550473</v>
      </c>
      <c r="C5" s="110">
        <v>-2747.6321525360399</v>
      </c>
      <c r="D5" s="37">
        <v>-4007.5239691548586</v>
      </c>
      <c r="E5" s="123">
        <v>8059.5888946742398</v>
      </c>
      <c r="F5" s="37">
        <v>6744.0875606781601</v>
      </c>
      <c r="G5" s="37">
        <v>6051.7789984512001</v>
      </c>
      <c r="H5" s="37">
        <v>8504.2950000000001</v>
      </c>
      <c r="I5" s="37">
        <v>4211</v>
      </c>
      <c r="J5" s="37">
        <v>12691</v>
      </c>
      <c r="K5" s="1">
        <v>10405</v>
      </c>
      <c r="L5" s="1">
        <v>6041</v>
      </c>
      <c r="M5" s="1">
        <v>7089</v>
      </c>
      <c r="N5" s="1">
        <v>10157</v>
      </c>
      <c r="O5" s="1">
        <v>13682</v>
      </c>
      <c r="P5" s="1">
        <v>1448</v>
      </c>
      <c r="Q5" s="1">
        <v>8918</v>
      </c>
      <c r="R5" s="1">
        <v>8899.2740471869329</v>
      </c>
      <c r="S5" s="1">
        <v>18027.223230490017</v>
      </c>
      <c r="T5" s="1">
        <v>12367.513611615244</v>
      </c>
      <c r="U5" s="1">
        <v>11262.250453720508</v>
      </c>
      <c r="V5" s="29">
        <v>15931.034482758621</v>
      </c>
      <c r="Z5" s="1"/>
      <c r="AA5" s="1"/>
    </row>
    <row r="6" spans="1:27" x14ac:dyDescent="0.25">
      <c r="A6" s="20" t="s">
        <v>12</v>
      </c>
      <c r="B6" s="27">
        <f t="shared" si="0"/>
        <v>0.14067617666300908</v>
      </c>
      <c r="C6" s="110">
        <v>-30931.046122903077</v>
      </c>
      <c r="D6" s="37">
        <v>-28877.589919045553</v>
      </c>
      <c r="E6" s="123">
        <v>125556.26947521504</v>
      </c>
      <c r="F6" s="37">
        <v>110071.79078862119</v>
      </c>
      <c r="G6" s="37">
        <v>107040.040898112</v>
      </c>
      <c r="H6" s="37">
        <v>138523.03200000001</v>
      </c>
      <c r="I6" s="37">
        <v>146809</v>
      </c>
      <c r="J6" s="37">
        <v>119064</v>
      </c>
      <c r="K6" s="1">
        <v>137910</v>
      </c>
      <c r="L6" s="1">
        <v>107077</v>
      </c>
      <c r="M6" s="1">
        <v>91699</v>
      </c>
      <c r="N6" s="1">
        <v>109230</v>
      </c>
      <c r="O6" s="1">
        <v>87487</v>
      </c>
      <c r="P6" s="1">
        <v>140483</v>
      </c>
      <c r="Q6" s="1">
        <v>79865</v>
      </c>
      <c r="R6" s="1">
        <v>108125.22686025409</v>
      </c>
      <c r="S6" s="1">
        <v>76720.508166969143</v>
      </c>
      <c r="T6" s="1">
        <v>108239.56442831217</v>
      </c>
      <c r="U6" s="1">
        <v>64067.150635208709</v>
      </c>
      <c r="V6" s="29">
        <v>65401.088929219601</v>
      </c>
      <c r="Z6" s="1"/>
      <c r="AA6" s="1"/>
    </row>
    <row r="7" spans="1:27" x14ac:dyDescent="0.25">
      <c r="A7" s="20" t="s">
        <v>9</v>
      </c>
      <c r="B7" s="27">
        <f t="shared" si="0"/>
        <v>2.2761902334747586E-3</v>
      </c>
      <c r="C7" s="110">
        <v>-43054.682946327375</v>
      </c>
      <c r="D7" s="37">
        <v>-51339.18652485084</v>
      </c>
      <c r="E7" s="123">
        <v>197796.80462242468</v>
      </c>
      <c r="F7" s="37">
        <v>197347.60393375103</v>
      </c>
      <c r="G7" s="37">
        <v>160397.36682513598</v>
      </c>
      <c r="H7" s="37">
        <v>183478.04800000001</v>
      </c>
      <c r="I7" s="37">
        <v>235154</v>
      </c>
      <c r="J7" s="37">
        <v>187094</v>
      </c>
      <c r="K7" s="1">
        <v>205160</v>
      </c>
      <c r="L7" s="1">
        <v>183607</v>
      </c>
      <c r="M7" s="1">
        <v>127277</v>
      </c>
      <c r="N7" s="1">
        <v>182788</v>
      </c>
      <c r="O7" s="1">
        <v>127772</v>
      </c>
      <c r="P7" s="1">
        <v>134804</v>
      </c>
      <c r="Q7" s="1">
        <v>112946</v>
      </c>
      <c r="R7" s="1">
        <v>95662.431941923773</v>
      </c>
      <c r="S7" s="1">
        <v>86915.60798548095</v>
      </c>
      <c r="T7" s="1">
        <v>84457.350272232303</v>
      </c>
      <c r="U7" s="1">
        <v>62161.524500907442</v>
      </c>
      <c r="V7" s="29">
        <v>45315.789473684214</v>
      </c>
      <c r="Z7" s="1"/>
      <c r="AA7" s="1"/>
    </row>
    <row r="8" spans="1:27" x14ac:dyDescent="0.25">
      <c r="A8" s="20" t="s">
        <v>3</v>
      </c>
      <c r="B8" s="27">
        <f t="shared" si="0"/>
        <v>0.46795844597362152</v>
      </c>
      <c r="C8" s="110">
        <v>-11411.400640941843</v>
      </c>
      <c r="D8" s="37">
        <v>-9295.2098907590989</v>
      </c>
      <c r="E8" s="123">
        <v>54620.757678254457</v>
      </c>
      <c r="F8" s="37">
        <v>37208.653847164802</v>
      </c>
      <c r="G8" s="37">
        <v>46510.0392990072</v>
      </c>
      <c r="H8" s="37">
        <v>42853.034</v>
      </c>
      <c r="I8" s="37">
        <v>82838</v>
      </c>
      <c r="J8" s="37">
        <v>44420</v>
      </c>
      <c r="K8" s="1">
        <v>72814</v>
      </c>
      <c r="L8" s="1">
        <v>58617</v>
      </c>
      <c r="M8" s="1">
        <v>78836</v>
      </c>
      <c r="N8" s="1">
        <v>126248</v>
      </c>
      <c r="O8" s="1">
        <v>102256</v>
      </c>
      <c r="P8" s="1">
        <v>115367</v>
      </c>
      <c r="Q8" s="1">
        <v>94919</v>
      </c>
      <c r="R8" s="1">
        <v>99702.359346642465</v>
      </c>
      <c r="S8" s="1">
        <v>98368.421052631573</v>
      </c>
      <c r="T8" s="1">
        <v>134232.30490018148</v>
      </c>
      <c r="U8" s="1">
        <v>104123.41197822141</v>
      </c>
      <c r="V8" s="29">
        <v>76853.90199637023</v>
      </c>
      <c r="Z8" s="1"/>
      <c r="AA8" s="1"/>
    </row>
    <row r="9" spans="1:27" x14ac:dyDescent="0.25">
      <c r="A9" s="20" t="s">
        <v>17</v>
      </c>
      <c r="B9" s="27">
        <f t="shared" si="0"/>
        <v>0.72234758276400202</v>
      </c>
      <c r="C9" s="110">
        <v>-32584.795823131863</v>
      </c>
      <c r="D9" s="37">
        <v>-27408.729004752473</v>
      </c>
      <c r="E9" s="123">
        <v>173230.20013272666</v>
      </c>
      <c r="F9" s="37">
        <v>100577.95642777806</v>
      </c>
      <c r="G9" s="37">
        <v>161009.35731995519</v>
      </c>
      <c r="H9" s="37">
        <v>108267.958</v>
      </c>
      <c r="I9" s="37">
        <v>153117</v>
      </c>
      <c r="J9" s="37">
        <v>114014</v>
      </c>
      <c r="K9" s="1">
        <v>192564</v>
      </c>
      <c r="L9" s="1">
        <v>92194</v>
      </c>
      <c r="M9" s="1">
        <v>149058</v>
      </c>
      <c r="N9" s="1">
        <v>136348</v>
      </c>
      <c r="O9" s="1">
        <v>132841</v>
      </c>
      <c r="P9" s="1">
        <v>101113</v>
      </c>
      <c r="Q9" s="1">
        <v>99359</v>
      </c>
      <c r="R9" s="1">
        <v>95395.644283121597</v>
      </c>
      <c r="S9" s="1">
        <v>85086.206896551725</v>
      </c>
      <c r="T9" s="1">
        <v>135032.66787658804</v>
      </c>
      <c r="U9" s="1">
        <v>85657.894736842107</v>
      </c>
      <c r="V9" s="29">
        <v>101855.71687840291</v>
      </c>
      <c r="Z9" s="1"/>
      <c r="AA9" s="1"/>
    </row>
    <row r="10" spans="1:27" x14ac:dyDescent="0.25">
      <c r="A10" s="20" t="s">
        <v>159</v>
      </c>
      <c r="B10" s="27">
        <f t="shared" si="0"/>
        <v>0.97343679421540041</v>
      </c>
      <c r="C10" s="110">
        <v>-39168.646435999079</v>
      </c>
      <c r="D10" s="37">
        <v>-18754.60026139392</v>
      </c>
      <c r="E10" s="123">
        <v>171123.32526263897</v>
      </c>
      <c r="F10" s="37">
        <v>86713.354977590876</v>
      </c>
      <c r="G10" s="37">
        <v>111545.4599020272</v>
      </c>
      <c r="H10" s="37">
        <v>108575.79300000001</v>
      </c>
      <c r="I10" s="37">
        <v>85677</v>
      </c>
      <c r="J10" s="37">
        <v>70546</v>
      </c>
      <c r="K10" s="1">
        <v>64505</v>
      </c>
      <c r="L10" s="1">
        <v>27784</v>
      </c>
      <c r="M10" s="1">
        <v>30852</v>
      </c>
      <c r="N10" s="1">
        <v>12749</v>
      </c>
      <c r="O10" s="1">
        <v>6250</v>
      </c>
      <c r="P10" s="1">
        <v>667</v>
      </c>
      <c r="Q10" s="1"/>
      <c r="R10" s="1"/>
      <c r="S10" s="1"/>
      <c r="T10" s="1"/>
      <c r="U10" s="1"/>
      <c r="V10" s="29"/>
      <c r="Z10" s="1"/>
      <c r="AA10" s="1"/>
    </row>
    <row r="11" spans="1:27" x14ac:dyDescent="0.25">
      <c r="A11" s="21" t="s">
        <v>10</v>
      </c>
      <c r="B11" s="27">
        <f t="shared" si="0"/>
        <v>-4.4655811704014212E-2</v>
      </c>
      <c r="C11" s="110">
        <v>-310.60554002015988</v>
      </c>
      <c r="D11" s="37">
        <v>-74.146023169679893</v>
      </c>
      <c r="E11" s="123">
        <v>1467.64165800252</v>
      </c>
      <c r="F11" s="37">
        <v>1536.24387522606</v>
      </c>
      <c r="G11" s="37">
        <v>914.7661433735999</v>
      </c>
      <c r="H11" s="37">
        <v>1587.8440000000001</v>
      </c>
      <c r="I11" s="37">
        <v>1448</v>
      </c>
      <c r="J11" s="37">
        <v>858</v>
      </c>
      <c r="K11" s="1">
        <v>1201</v>
      </c>
      <c r="L11" s="70">
        <v>1810</v>
      </c>
      <c r="M11" s="70">
        <v>1563</v>
      </c>
      <c r="N11" s="70">
        <v>2782</v>
      </c>
      <c r="O11" s="70">
        <v>5488</v>
      </c>
      <c r="P11" s="70">
        <v>534</v>
      </c>
      <c r="Q11" s="70">
        <v>3449</v>
      </c>
      <c r="R11" s="70">
        <v>609.80036297640652</v>
      </c>
      <c r="S11" s="70">
        <v>3868.4210526315787</v>
      </c>
      <c r="T11" s="70">
        <v>4535.3901996370232</v>
      </c>
      <c r="U11" s="1">
        <v>3144.2831215970964</v>
      </c>
      <c r="V11" s="29">
        <v>3182.3956442831218</v>
      </c>
      <c r="Z11" s="1"/>
      <c r="AA11" s="1"/>
    </row>
    <row r="12" spans="1:27" x14ac:dyDescent="0.25">
      <c r="A12" s="21" t="s">
        <v>27</v>
      </c>
      <c r="B12" s="27" t="str">
        <f t="shared" si="0"/>
        <v/>
      </c>
      <c r="C12" s="110">
        <v>0</v>
      </c>
      <c r="D12" s="37">
        <v>0</v>
      </c>
      <c r="E12" s="123"/>
      <c r="F12" s="37"/>
      <c r="G12" s="37"/>
      <c r="H12" s="37"/>
      <c r="I12" s="37"/>
      <c r="J12" s="37">
        <v>4840</v>
      </c>
      <c r="K12" s="1">
        <v>4593</v>
      </c>
      <c r="L12" s="70">
        <v>6022</v>
      </c>
      <c r="M12" s="70">
        <v>3335</v>
      </c>
      <c r="N12" s="70">
        <v>9890</v>
      </c>
      <c r="O12" s="70">
        <v>9338</v>
      </c>
      <c r="P12" s="70">
        <v>4593</v>
      </c>
      <c r="Q12" s="70">
        <v>5164</v>
      </c>
      <c r="R12" s="70">
        <v>6040.8348457350276</v>
      </c>
      <c r="S12" s="70">
        <v>5240.471869328494</v>
      </c>
      <c r="T12" s="70">
        <v>4649.7277676950998</v>
      </c>
      <c r="U12" s="1">
        <v>2305.807622504537</v>
      </c>
      <c r="V12" s="29">
        <v>3144.2831215970964</v>
      </c>
      <c r="Z12" s="1"/>
      <c r="AA12" s="1"/>
    </row>
    <row r="13" spans="1:27" x14ac:dyDescent="0.25">
      <c r="A13" s="21" t="s">
        <v>50</v>
      </c>
      <c r="B13" s="27">
        <f t="shared" si="0"/>
        <v>6.0380557648831969E-2</v>
      </c>
      <c r="C13" s="110">
        <v>-475.16703748667987</v>
      </c>
      <c r="D13" s="37">
        <v>-146.02499167409997</v>
      </c>
      <c r="E13" s="123">
        <v>857.82300392712</v>
      </c>
      <c r="F13" s="37">
        <v>808.97654878655999</v>
      </c>
      <c r="G13" s="37">
        <v>527.59509287519995</v>
      </c>
      <c r="H13" s="37">
        <v>739.13499999999999</v>
      </c>
      <c r="I13" s="37">
        <v>1772</v>
      </c>
      <c r="J13" s="37">
        <v>1696</v>
      </c>
      <c r="K13" s="1">
        <v>0</v>
      </c>
      <c r="L13" s="70">
        <v>229</v>
      </c>
      <c r="M13" s="70">
        <v>1582</v>
      </c>
      <c r="N13" s="70">
        <v>1601</v>
      </c>
      <c r="O13" s="70">
        <v>2401</v>
      </c>
      <c r="P13" s="70">
        <v>38</v>
      </c>
      <c r="Q13" s="70">
        <v>2496</v>
      </c>
      <c r="R13" s="70">
        <v>876.58802177858445</v>
      </c>
      <c r="S13" s="70">
        <v>6117.0598911070783</v>
      </c>
      <c r="T13" s="70">
        <v>1295.8257713248638</v>
      </c>
      <c r="U13" s="1">
        <v>743.19419237749548</v>
      </c>
      <c r="V13" s="29">
        <v>1314.8820326678765</v>
      </c>
      <c r="Z13" s="1"/>
      <c r="AA13" s="1"/>
    </row>
    <row r="14" spans="1:27" x14ac:dyDescent="0.25">
      <c r="A14" s="21" t="s">
        <v>51</v>
      </c>
      <c r="B14" s="27">
        <f t="shared" si="0"/>
        <v>0.16211039811419581</v>
      </c>
      <c r="C14" s="110">
        <v>-3909.6977027169614</v>
      </c>
      <c r="D14" s="37">
        <v>-3369.4528607216398</v>
      </c>
      <c r="E14" s="123">
        <v>9467.0869259689789</v>
      </c>
      <c r="F14" s="37">
        <v>8146.4609053766399</v>
      </c>
      <c r="G14" s="37">
        <v>7773.6357069167998</v>
      </c>
      <c r="H14" s="37">
        <v>9554.2000000000007</v>
      </c>
      <c r="I14" s="37">
        <v>10672</v>
      </c>
      <c r="J14" s="37">
        <v>14368</v>
      </c>
      <c r="K14" s="1">
        <v>12444</v>
      </c>
      <c r="L14" s="70">
        <v>9204</v>
      </c>
      <c r="M14" s="70">
        <v>14769</v>
      </c>
      <c r="N14" s="70">
        <v>17799</v>
      </c>
      <c r="O14" s="70">
        <v>18408</v>
      </c>
      <c r="P14" s="70">
        <v>2172</v>
      </c>
      <c r="Q14" s="70">
        <v>9776</v>
      </c>
      <c r="R14" s="70">
        <v>7717.7858439201455</v>
      </c>
      <c r="S14" s="70">
        <v>20275.862068965518</v>
      </c>
      <c r="T14" s="70">
        <v>14101.633393829401</v>
      </c>
      <c r="U14" s="1">
        <v>12291.288566243195</v>
      </c>
      <c r="V14" s="29">
        <v>11891.107078039928</v>
      </c>
      <c r="Z14" s="1"/>
      <c r="AA14" s="1"/>
    </row>
    <row r="15" spans="1:27" x14ac:dyDescent="0.25">
      <c r="A15" s="21" t="s">
        <v>52</v>
      </c>
      <c r="B15" s="27">
        <f t="shared" si="0"/>
        <v>0.21852491470451949</v>
      </c>
      <c r="C15" s="110">
        <v>-272.33232302429997</v>
      </c>
      <c r="D15" s="37">
        <v>-59.152980971699947</v>
      </c>
      <c r="E15" s="123">
        <v>551.12289421265996</v>
      </c>
      <c r="F15" s="37">
        <v>452.28693115914001</v>
      </c>
      <c r="G15" s="37">
        <v>400.10659856159998</v>
      </c>
      <c r="H15" s="37">
        <v>524.10400000000004</v>
      </c>
      <c r="I15" s="37">
        <v>610</v>
      </c>
      <c r="J15" s="37">
        <v>991</v>
      </c>
      <c r="K15" s="1">
        <v>1525</v>
      </c>
      <c r="L15" s="70">
        <v>1067</v>
      </c>
      <c r="M15" s="70">
        <v>648</v>
      </c>
      <c r="N15" s="70">
        <v>762</v>
      </c>
      <c r="O15" s="70">
        <v>1162</v>
      </c>
      <c r="P15" s="70">
        <v>819</v>
      </c>
      <c r="Q15" s="70">
        <v>2344</v>
      </c>
      <c r="R15" s="70">
        <v>2134.301270417423</v>
      </c>
      <c r="S15" s="70">
        <v>2362.9764065335753</v>
      </c>
      <c r="T15" s="70">
        <v>2763.1578947368421</v>
      </c>
      <c r="U15" s="1">
        <v>3887.4773139745917</v>
      </c>
      <c r="V15" s="29">
        <v>2115.2450090744101</v>
      </c>
      <c r="Z15" s="1"/>
      <c r="AA15" s="1"/>
    </row>
    <row r="16" spans="1:27" x14ac:dyDescent="0.25">
      <c r="A16" s="21" t="s">
        <v>53</v>
      </c>
      <c r="B16" s="27">
        <f t="shared" si="0"/>
        <v>0.25995843436092825</v>
      </c>
      <c r="C16" s="110">
        <v>-106.39916223090006</v>
      </c>
      <c r="D16" s="37">
        <v>-104.28451460195998</v>
      </c>
      <c r="E16" s="123">
        <v>554.38059461399996</v>
      </c>
      <c r="F16" s="37">
        <v>439.99911385583999</v>
      </c>
      <c r="G16" s="37">
        <v>624.39261821999992</v>
      </c>
      <c r="H16" s="37">
        <v>515.68100000000004</v>
      </c>
      <c r="I16" s="37">
        <v>267</v>
      </c>
      <c r="J16" s="37">
        <v>324</v>
      </c>
      <c r="K16" s="1">
        <v>0</v>
      </c>
      <c r="L16" s="70">
        <v>0</v>
      </c>
      <c r="M16" s="70">
        <v>0</v>
      </c>
      <c r="N16" s="70">
        <v>0</v>
      </c>
      <c r="O16" s="70">
        <v>0</v>
      </c>
      <c r="P16" s="70">
        <v>400</v>
      </c>
      <c r="Q16" s="70">
        <v>591</v>
      </c>
      <c r="R16" s="70">
        <v>1372.0508166969148</v>
      </c>
      <c r="S16" s="70">
        <v>0</v>
      </c>
      <c r="T16" s="70">
        <v>2210.5263157894738</v>
      </c>
      <c r="U16" s="1">
        <v>171.50635208711435</v>
      </c>
      <c r="V16" s="29">
        <v>57.168784029038115</v>
      </c>
      <c r="Z16" s="1"/>
      <c r="AA16" s="1"/>
    </row>
    <row r="17" spans="1:27" x14ac:dyDescent="0.25">
      <c r="A17" s="21" t="s">
        <v>54</v>
      </c>
      <c r="B17" s="27" t="str">
        <f t="shared" si="0"/>
        <v/>
      </c>
      <c r="C17" s="110">
        <v>0</v>
      </c>
      <c r="D17" s="37">
        <v>0</v>
      </c>
      <c r="E17" s="123"/>
      <c r="F17" s="37"/>
      <c r="G17" s="37"/>
      <c r="H17" s="37"/>
      <c r="I17" s="37"/>
      <c r="J17" s="37"/>
      <c r="K17" s="1">
        <v>0</v>
      </c>
      <c r="L17" s="70">
        <v>0</v>
      </c>
      <c r="M17" s="70">
        <v>0</v>
      </c>
      <c r="N17" s="70">
        <v>0</v>
      </c>
      <c r="O17" s="70">
        <v>305</v>
      </c>
      <c r="P17" s="70">
        <v>19</v>
      </c>
      <c r="Q17" s="70">
        <v>0</v>
      </c>
      <c r="R17" s="70">
        <v>0</v>
      </c>
      <c r="S17" s="70">
        <v>38.112522686025407</v>
      </c>
      <c r="T17" s="70">
        <v>0</v>
      </c>
      <c r="U17" s="1">
        <v>38.112522686025407</v>
      </c>
      <c r="V17" s="29">
        <v>38.112522686025407</v>
      </c>
      <c r="Z17" s="1"/>
      <c r="AA17" s="1"/>
    </row>
    <row r="18" spans="1:27" x14ac:dyDescent="0.25">
      <c r="A18" s="20" t="s">
        <v>22</v>
      </c>
      <c r="B18" s="27">
        <f t="shared" si="0"/>
        <v>0.27294324087197136</v>
      </c>
      <c r="C18" s="110">
        <v>-15188.942392289813</v>
      </c>
      <c r="D18" s="37">
        <v>-13110.83435030753</v>
      </c>
      <c r="E18" s="123">
        <v>93423.836786760483</v>
      </c>
      <c r="F18" s="37">
        <v>73391.989357486804</v>
      </c>
      <c r="G18" s="37">
        <v>86047.094258479192</v>
      </c>
      <c r="H18" s="37">
        <v>69373.404999999999</v>
      </c>
      <c r="I18" s="37">
        <v>56064</v>
      </c>
      <c r="J18" s="37">
        <v>56788</v>
      </c>
      <c r="K18" s="1">
        <v>48841</v>
      </c>
      <c r="L18" s="1">
        <v>55930</v>
      </c>
      <c r="M18" s="1">
        <v>45468</v>
      </c>
      <c r="N18" s="1">
        <v>36417</v>
      </c>
      <c r="O18" s="1">
        <v>26202</v>
      </c>
      <c r="P18" s="1">
        <v>25307</v>
      </c>
      <c r="Q18" s="1">
        <v>19876</v>
      </c>
      <c r="R18" s="1">
        <v>22829.401088929219</v>
      </c>
      <c r="S18" s="1">
        <v>24868.42105263158</v>
      </c>
      <c r="T18" s="1">
        <v>18179.673321234121</v>
      </c>
      <c r="U18" s="1">
        <v>18789.473684210527</v>
      </c>
      <c r="V18" s="29">
        <v>7355.7168784029036</v>
      </c>
      <c r="Z18" s="1"/>
      <c r="AA18" s="1"/>
    </row>
    <row r="19" spans="1:27" x14ac:dyDescent="0.25">
      <c r="A19" s="21" t="s">
        <v>19</v>
      </c>
      <c r="B19" s="27">
        <f t="shared" si="0"/>
        <v>0.33028789483080184</v>
      </c>
      <c r="C19" s="110">
        <v>-44406.514307606238</v>
      </c>
      <c r="D19" s="37">
        <v>-26234.261331991031</v>
      </c>
      <c r="E19" s="123">
        <v>224438.39280986044</v>
      </c>
      <c r="F19" s="37">
        <v>168714.15103601056</v>
      </c>
      <c r="G19" s="37">
        <v>196256.5158900024</v>
      </c>
      <c r="H19" s="37">
        <v>221327.671</v>
      </c>
      <c r="I19" s="37">
        <v>260461</v>
      </c>
      <c r="J19" s="37">
        <v>285996</v>
      </c>
      <c r="K19" s="1">
        <v>298383</v>
      </c>
      <c r="L19" s="70">
        <v>385946</v>
      </c>
      <c r="M19" s="70">
        <v>278431</v>
      </c>
      <c r="N19" s="70">
        <v>445383</v>
      </c>
      <c r="O19" s="70">
        <v>332589</v>
      </c>
      <c r="P19" s="70">
        <v>382383</v>
      </c>
      <c r="Q19" s="70">
        <v>333713</v>
      </c>
      <c r="R19" s="70">
        <v>293142.46823956445</v>
      </c>
      <c r="S19" s="70">
        <v>334227.76769509981</v>
      </c>
      <c r="T19" s="70">
        <v>341354.80943738658</v>
      </c>
      <c r="U19" s="1">
        <v>275134.3012704174</v>
      </c>
      <c r="V19" s="29">
        <v>313437.38656987296</v>
      </c>
      <c r="Z19" s="1"/>
      <c r="AA19" s="1"/>
    </row>
    <row r="20" spans="1:27" x14ac:dyDescent="0.25">
      <c r="A20" s="21" t="s">
        <v>55</v>
      </c>
      <c r="B20" s="27">
        <f t="shared" si="0"/>
        <v>-0.29266288161535742</v>
      </c>
      <c r="C20" s="110">
        <v>-457.01154928506003</v>
      </c>
      <c r="D20" s="37">
        <v>-149.75896406393986</v>
      </c>
      <c r="E20" s="123">
        <v>1787.2011114064799</v>
      </c>
      <c r="F20" s="37">
        <v>2526.6610007515801</v>
      </c>
      <c r="G20" s="37">
        <v>2055.7043436047998</v>
      </c>
      <c r="H20" s="37">
        <v>1472.82</v>
      </c>
      <c r="I20" s="37">
        <v>2801</v>
      </c>
      <c r="J20" s="37">
        <v>3506</v>
      </c>
      <c r="K20" s="1">
        <v>3468</v>
      </c>
      <c r="L20" s="70">
        <v>5031</v>
      </c>
      <c r="M20" s="70">
        <v>3525</v>
      </c>
      <c r="N20" s="70">
        <v>4326</v>
      </c>
      <c r="O20" s="70">
        <v>2801</v>
      </c>
      <c r="P20" s="70">
        <v>2211</v>
      </c>
      <c r="Q20" s="70">
        <v>4554</v>
      </c>
      <c r="R20" s="70">
        <v>1448.2758620689656</v>
      </c>
      <c r="S20" s="70">
        <v>3773.1397459165155</v>
      </c>
      <c r="T20" s="70">
        <v>5126.1343012704174</v>
      </c>
      <c r="U20" s="1">
        <v>5659.7096188747728</v>
      </c>
      <c r="V20" s="29">
        <v>5450.0907441016334</v>
      </c>
      <c r="Z20" s="1"/>
      <c r="AA20" s="1"/>
    </row>
    <row r="21" spans="1:27" x14ac:dyDescent="0.25">
      <c r="A21" s="21" t="s">
        <v>56</v>
      </c>
      <c r="B21" s="27">
        <f t="shared" si="0"/>
        <v>0.17651739031598102</v>
      </c>
      <c r="C21" s="110">
        <v>-73.80310733796</v>
      </c>
      <c r="D21" s="37">
        <v>-127.05031565226</v>
      </c>
      <c r="E21" s="123">
        <v>394.39130823708001</v>
      </c>
      <c r="F21" s="37">
        <v>335.21927638583998</v>
      </c>
      <c r="G21" s="37">
        <v>120.0586508016</v>
      </c>
      <c r="H21" s="37">
        <v>54.158000000000001</v>
      </c>
      <c r="I21" s="37">
        <v>572</v>
      </c>
      <c r="J21" s="37">
        <v>267</v>
      </c>
      <c r="K21" s="1">
        <v>229</v>
      </c>
      <c r="L21" s="70">
        <v>2725</v>
      </c>
      <c r="M21" s="70">
        <v>1563</v>
      </c>
      <c r="N21" s="70">
        <v>1677</v>
      </c>
      <c r="O21" s="70">
        <v>3544</v>
      </c>
      <c r="P21" s="70">
        <v>229</v>
      </c>
      <c r="Q21" s="70">
        <v>3544</v>
      </c>
      <c r="R21" s="70">
        <v>1791.2885662431943</v>
      </c>
      <c r="S21" s="70">
        <v>3620.6896551724139</v>
      </c>
      <c r="T21" s="70">
        <v>3372.9582577132487</v>
      </c>
      <c r="U21" s="1">
        <v>2324.8638838475499</v>
      </c>
      <c r="V21" s="29">
        <v>5011.7967332123408</v>
      </c>
      <c r="Z21" s="1"/>
      <c r="AA21" s="1"/>
    </row>
    <row r="22" spans="1:27" x14ac:dyDescent="0.25">
      <c r="A22" s="21" t="s">
        <v>35</v>
      </c>
      <c r="B22" s="27">
        <f t="shared" si="0"/>
        <v>0.66976234548201086</v>
      </c>
      <c r="C22" s="110">
        <v>-98.416843703640097</v>
      </c>
      <c r="D22" s="37">
        <v>-645.71051112875989</v>
      </c>
      <c r="E22" s="123">
        <v>2990.2451034779397</v>
      </c>
      <c r="F22" s="37">
        <v>1790.82077851908</v>
      </c>
      <c r="G22" s="37">
        <v>2065.9537174751999</v>
      </c>
      <c r="H22" s="37">
        <v>1062.1959999999999</v>
      </c>
      <c r="I22" s="37">
        <v>591</v>
      </c>
      <c r="J22" s="37">
        <v>2039</v>
      </c>
      <c r="K22" s="1">
        <v>2172</v>
      </c>
      <c r="L22" s="70">
        <v>858</v>
      </c>
      <c r="M22" s="70">
        <v>2554</v>
      </c>
      <c r="N22" s="70">
        <v>2630</v>
      </c>
      <c r="O22" s="70">
        <v>1791</v>
      </c>
      <c r="P22" s="70">
        <v>229</v>
      </c>
      <c r="Q22" s="70">
        <v>991</v>
      </c>
      <c r="R22" s="70">
        <v>1867.5136116152451</v>
      </c>
      <c r="S22" s="70">
        <v>3182.3956442831218</v>
      </c>
      <c r="T22" s="70">
        <v>2305.807622504537</v>
      </c>
      <c r="U22" s="1">
        <v>1657.8947368421052</v>
      </c>
      <c r="V22" s="29">
        <v>2877.4954627949182</v>
      </c>
      <c r="Z22" s="1"/>
      <c r="AA22" s="1"/>
    </row>
    <row r="23" spans="1:27" x14ac:dyDescent="0.25">
      <c r="A23" s="21" t="s">
        <v>21</v>
      </c>
      <c r="B23" s="27">
        <f t="shared" si="0"/>
        <v>7.7023926581448214E-3</v>
      </c>
      <c r="C23" s="110">
        <v>-28.823980744019991</v>
      </c>
      <c r="D23" s="37">
        <v>-10.687543421939992</v>
      </c>
      <c r="E23" s="123">
        <v>117.14385829145999</v>
      </c>
      <c r="F23" s="37">
        <v>116.24846695308</v>
      </c>
      <c r="G23" s="37">
        <v>113.4289442832</v>
      </c>
      <c r="H23" s="37">
        <v>98.54</v>
      </c>
      <c r="I23" s="37">
        <v>76</v>
      </c>
      <c r="J23" s="37">
        <v>210</v>
      </c>
      <c r="K23" s="1">
        <v>229</v>
      </c>
      <c r="L23" s="70">
        <v>133</v>
      </c>
      <c r="M23" s="70">
        <v>286</v>
      </c>
      <c r="N23" s="70">
        <v>419</v>
      </c>
      <c r="O23" s="70">
        <v>38</v>
      </c>
      <c r="P23" s="70">
        <v>152</v>
      </c>
      <c r="Q23" s="70">
        <v>267</v>
      </c>
      <c r="R23" s="70">
        <v>304.90018148820326</v>
      </c>
      <c r="S23" s="70">
        <v>533.57531760435575</v>
      </c>
      <c r="T23" s="70">
        <v>438.29401088929222</v>
      </c>
      <c r="U23" s="1">
        <v>724.13793103448279</v>
      </c>
      <c r="V23" s="29">
        <v>590.74410163339383</v>
      </c>
      <c r="Z23" s="1"/>
      <c r="AA23" s="1"/>
    </row>
    <row r="24" spans="1:27" x14ac:dyDescent="0.25">
      <c r="A24" s="21" t="s">
        <v>57</v>
      </c>
      <c r="B24" s="27" t="str">
        <f t="shared" si="0"/>
        <v/>
      </c>
      <c r="C24" s="110">
        <v>0</v>
      </c>
      <c r="D24" s="37">
        <v>0</v>
      </c>
      <c r="E24" s="123"/>
      <c r="F24" s="37"/>
      <c r="G24" s="37"/>
      <c r="H24" s="37"/>
      <c r="I24" s="37"/>
      <c r="J24" s="37"/>
      <c r="K24" s="1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76.225045372050815</v>
      </c>
      <c r="U24" s="1">
        <v>0</v>
      </c>
      <c r="V24" s="29">
        <v>19.056261343012704</v>
      </c>
      <c r="Z24" s="1"/>
      <c r="AA24" s="1"/>
    </row>
    <row r="25" spans="1:27" x14ac:dyDescent="0.25">
      <c r="A25" s="21" t="s">
        <v>58</v>
      </c>
      <c r="B25" s="27">
        <f t="shared" si="0"/>
        <v>0.30447475055553153</v>
      </c>
      <c r="C25" s="110">
        <v>-144.95814241986</v>
      </c>
      <c r="D25" s="37">
        <v>-130.28896517405997</v>
      </c>
      <c r="E25" s="123">
        <v>570.36428254806003</v>
      </c>
      <c r="F25" s="37">
        <v>437.23673632253997</v>
      </c>
      <c r="G25" s="37">
        <v>482.8255229952</v>
      </c>
      <c r="H25" s="37">
        <v>533.93700000000001</v>
      </c>
      <c r="I25" s="37">
        <v>133</v>
      </c>
      <c r="J25" s="37">
        <v>362</v>
      </c>
      <c r="K25" s="1">
        <v>19</v>
      </c>
      <c r="L25" s="70">
        <v>57</v>
      </c>
      <c r="M25" s="70">
        <v>57</v>
      </c>
      <c r="N25" s="70">
        <v>57</v>
      </c>
      <c r="O25" s="70">
        <v>0</v>
      </c>
      <c r="P25" s="70">
        <v>95</v>
      </c>
      <c r="Q25" s="70">
        <v>191</v>
      </c>
      <c r="R25" s="70">
        <v>228.67513611615246</v>
      </c>
      <c r="S25" s="70">
        <v>19.056261343012704</v>
      </c>
      <c r="T25" s="70">
        <v>57.168784029038115</v>
      </c>
      <c r="U25" s="1">
        <v>19.056261343012704</v>
      </c>
      <c r="V25" s="29">
        <v>38.112522686025407</v>
      </c>
      <c r="Z25" s="1"/>
      <c r="AA25" s="1"/>
    </row>
    <row r="26" spans="1:27" ht="13.8" thickBot="1" x14ac:dyDescent="0.3">
      <c r="A26" s="22" t="s">
        <v>59</v>
      </c>
      <c r="B26" s="27">
        <f t="shared" si="0"/>
        <v>0.50277057624919919</v>
      </c>
      <c r="C26" s="111">
        <v>-53320.230335576809</v>
      </c>
      <c r="D26" s="64">
        <v>-27457.003933506843</v>
      </c>
      <c r="E26" s="42">
        <v>132591.30206822808</v>
      </c>
      <c r="F26" s="64">
        <v>88231.233804940377</v>
      </c>
      <c r="G26" s="64">
        <v>79615.821714492005</v>
      </c>
      <c r="H26" s="64">
        <f>51247.966+12649</f>
        <v>63896.966</v>
      </c>
      <c r="I26" s="64">
        <f>(13930+58026)</f>
        <v>71956</v>
      </c>
      <c r="J26" s="64">
        <f>39332+9376</f>
        <v>48708</v>
      </c>
      <c r="K26" s="10">
        <v>107325</v>
      </c>
      <c r="L26" s="71">
        <v>60466</v>
      </c>
      <c r="M26" s="71">
        <v>52652</v>
      </c>
      <c r="N26" s="71">
        <v>47564</v>
      </c>
      <c r="O26" s="71">
        <v>36721</v>
      </c>
      <c r="P26" s="71">
        <v>22925</v>
      </c>
      <c r="Q26" s="71">
        <v>14140</v>
      </c>
      <c r="R26" s="71">
        <v>15187.840290381126</v>
      </c>
      <c r="S26" s="71">
        <v>17341.197822141559</v>
      </c>
      <c r="T26" s="71">
        <v>19170.598911070781</v>
      </c>
      <c r="U26" s="10">
        <v>11662.431941923775</v>
      </c>
      <c r="V26" s="31">
        <v>14196.914700544465</v>
      </c>
      <c r="Z26" s="1"/>
      <c r="AA26" s="1"/>
    </row>
    <row r="27" spans="1:27" ht="13.8" thickBot="1" x14ac:dyDescent="0.3">
      <c r="A27" s="32" t="s">
        <v>23</v>
      </c>
      <c r="B27" s="122">
        <f t="shared" si="0"/>
        <v>0.36182568226840733</v>
      </c>
      <c r="C27" s="115">
        <v>-290664.03186166496</v>
      </c>
      <c r="D27" s="34">
        <v>-223835.90874440793</v>
      </c>
      <c r="E27" s="85">
        <f>SUM(E2:E26)</f>
        <v>1300963.607819106</v>
      </c>
      <c r="F27" s="34">
        <f>SUM(F2:F26)</f>
        <v>955308.46918092866</v>
      </c>
      <c r="G27" s="34">
        <f>SUM(G2:G26)</f>
        <v>1014539.4544011216</v>
      </c>
      <c r="H27" s="34">
        <f t="shared" ref="H27:N27" si="1">SUM(H2:H26)</f>
        <v>976088.96200000006</v>
      </c>
      <c r="I27" s="34">
        <f t="shared" si="1"/>
        <v>1119631</v>
      </c>
      <c r="J27" s="34">
        <f t="shared" si="1"/>
        <v>975375</v>
      </c>
      <c r="K27" s="34">
        <f t="shared" si="1"/>
        <v>1168418</v>
      </c>
      <c r="L27" s="34">
        <f t="shared" si="1"/>
        <v>1010877</v>
      </c>
      <c r="M27" s="34">
        <f t="shared" si="1"/>
        <v>896160</v>
      </c>
      <c r="N27" s="34">
        <f t="shared" si="1"/>
        <v>1164834</v>
      </c>
      <c r="O27" s="34">
        <f t="shared" ref="O27:V27" si="2">SUM(O2:O26)</f>
        <v>917098</v>
      </c>
      <c r="P27" s="34">
        <f t="shared" si="2"/>
        <v>946392</v>
      </c>
      <c r="Q27" s="34">
        <f t="shared" si="2"/>
        <v>806040</v>
      </c>
      <c r="R27" s="34">
        <f t="shared" si="2"/>
        <v>786756.8058076225</v>
      </c>
      <c r="S27" s="34">
        <f t="shared" si="2"/>
        <v>808099.81851179677</v>
      </c>
      <c r="T27" s="34">
        <f t="shared" si="2"/>
        <v>919235.93466424686</v>
      </c>
      <c r="U27" s="34">
        <f t="shared" si="2"/>
        <v>686406.53357531771</v>
      </c>
      <c r="V27" s="35">
        <f t="shared" si="2"/>
        <v>689989.11070780398</v>
      </c>
    </row>
    <row r="28" spans="1:2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27" ht="13.8" thickBot="1" x14ac:dyDescent="0.3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27" ht="13.8" thickBot="1" x14ac:dyDescent="0.3">
      <c r="A30" s="23" t="s">
        <v>25</v>
      </c>
      <c r="B30" s="24" t="s">
        <v>182</v>
      </c>
      <c r="C30" s="125" t="s">
        <v>183</v>
      </c>
      <c r="D30" s="69" t="s">
        <v>178</v>
      </c>
      <c r="E30" s="127">
        <v>45383</v>
      </c>
      <c r="F30" s="101">
        <v>45017</v>
      </c>
      <c r="G30" s="101">
        <v>44652</v>
      </c>
      <c r="H30" s="101">
        <v>44287</v>
      </c>
      <c r="I30" s="101">
        <v>43922</v>
      </c>
      <c r="J30" s="101">
        <v>43556</v>
      </c>
      <c r="K30" s="101">
        <v>43191</v>
      </c>
      <c r="L30" s="25">
        <v>42826</v>
      </c>
      <c r="M30" s="25">
        <v>42461</v>
      </c>
      <c r="N30" s="25">
        <v>42095</v>
      </c>
      <c r="O30" s="25">
        <v>41730</v>
      </c>
      <c r="P30" s="25">
        <v>41365</v>
      </c>
      <c r="Q30" s="25">
        <v>41000</v>
      </c>
      <c r="R30" s="25">
        <v>40634</v>
      </c>
      <c r="S30" s="25">
        <v>40269</v>
      </c>
      <c r="T30" s="25">
        <v>39904</v>
      </c>
      <c r="U30" s="25">
        <v>39539</v>
      </c>
      <c r="V30" s="26">
        <v>39173</v>
      </c>
    </row>
    <row r="31" spans="1:27" x14ac:dyDescent="0.25">
      <c r="A31" s="20" t="s">
        <v>41</v>
      </c>
      <c r="B31" s="27">
        <f t="shared" ref="B31:B41" si="3">IFERROR(((E31-F31)/F31),"")</f>
        <v>-0.1741214361513653</v>
      </c>
      <c r="C31" s="110">
        <v>-21196.140000000007</v>
      </c>
      <c r="D31" s="37">
        <v>-17263.379999999997</v>
      </c>
      <c r="E31" s="123">
        <v>36453.519999999997</v>
      </c>
      <c r="F31" s="37">
        <v>44139.08</v>
      </c>
      <c r="G31" s="37">
        <v>51702.66</v>
      </c>
      <c r="H31" s="37">
        <v>40935.800000000003</v>
      </c>
      <c r="I31" s="37">
        <v>53752.56</v>
      </c>
      <c r="J31" s="37">
        <v>55255</v>
      </c>
      <c r="K31" s="1">
        <v>50746.32</v>
      </c>
      <c r="L31" s="1">
        <v>45305.42</v>
      </c>
      <c r="M31" s="1">
        <v>39072.839999999997</v>
      </c>
      <c r="N31" s="1">
        <v>64343.18</v>
      </c>
      <c r="O31" s="1">
        <v>57674.68</v>
      </c>
      <c r="P31" s="1">
        <v>51093.88</v>
      </c>
      <c r="Q31" s="1">
        <v>66380.479999999996</v>
      </c>
      <c r="R31" s="1">
        <v>59116.160000000003</v>
      </c>
      <c r="S31" s="1">
        <v>56464.34</v>
      </c>
      <c r="T31" s="1">
        <v>43632.4</v>
      </c>
      <c r="U31" s="1">
        <v>50935.24</v>
      </c>
      <c r="V31" s="29">
        <v>30827.599999999999</v>
      </c>
    </row>
    <row r="32" spans="1:27" x14ac:dyDescent="0.25">
      <c r="A32" s="20" t="s">
        <v>42</v>
      </c>
      <c r="B32" s="27">
        <f t="shared" si="3"/>
        <v>4.2344756199994906</v>
      </c>
      <c r="C32" s="110">
        <v>-7577.0999999999985</v>
      </c>
      <c r="D32" s="37">
        <v>-3671.04</v>
      </c>
      <c r="E32" s="123">
        <v>12339.02</v>
      </c>
      <c r="F32" s="37">
        <v>2357.2600000000002</v>
      </c>
      <c r="G32" s="37">
        <v>4793.22</v>
      </c>
      <c r="H32" s="37">
        <v>5709</v>
      </c>
      <c r="I32" s="37">
        <v>3253.34</v>
      </c>
      <c r="J32" s="37">
        <v>10086</v>
      </c>
      <c r="K32" s="1">
        <v>1915.32</v>
      </c>
      <c r="L32" s="1">
        <v>7533.16</v>
      </c>
      <c r="M32" s="1">
        <v>6274.02</v>
      </c>
      <c r="N32" s="1">
        <v>5956.06</v>
      </c>
      <c r="O32" s="1">
        <v>6974.92</v>
      </c>
      <c r="P32" s="1">
        <v>1595.36</v>
      </c>
      <c r="Q32" s="1">
        <v>10983.28</v>
      </c>
      <c r="R32" s="1">
        <v>1298.8800000000001</v>
      </c>
      <c r="S32" s="1">
        <v>2212.5</v>
      </c>
      <c r="T32" s="1">
        <v>5489.88</v>
      </c>
      <c r="U32" s="1">
        <v>1641.96</v>
      </c>
      <c r="V32" s="29">
        <v>634.94000000000005</v>
      </c>
    </row>
    <row r="33" spans="1:23" x14ac:dyDescent="0.25">
      <c r="A33" s="20" t="s">
        <v>43</v>
      </c>
      <c r="B33" s="27">
        <f t="shared" si="3"/>
        <v>0.30065517971147399</v>
      </c>
      <c r="C33" s="110">
        <v>-1645.2800000000007</v>
      </c>
      <c r="D33" s="37">
        <v>-1503.3199999999997</v>
      </c>
      <c r="E33" s="123">
        <v>5899.98</v>
      </c>
      <c r="F33" s="37">
        <v>4536.16</v>
      </c>
      <c r="G33" s="37">
        <v>6187.18</v>
      </c>
      <c r="H33" s="37">
        <v>3640.66</v>
      </c>
      <c r="I33" s="37">
        <v>5718</v>
      </c>
      <c r="J33" s="37">
        <v>5424</v>
      </c>
      <c r="K33" s="1">
        <v>4505.9799999999996</v>
      </c>
      <c r="L33" s="1">
        <v>4949.78</v>
      </c>
      <c r="M33" s="1">
        <v>1749.2</v>
      </c>
      <c r="N33" s="1">
        <v>5960.62</v>
      </c>
      <c r="O33" s="1">
        <v>4497.58</v>
      </c>
      <c r="P33" s="1">
        <v>3113.86</v>
      </c>
      <c r="Q33" s="1">
        <v>4775.12</v>
      </c>
      <c r="R33" s="1">
        <v>3670.46</v>
      </c>
      <c r="S33" s="1">
        <v>2345</v>
      </c>
      <c r="T33" s="1">
        <v>4424.9799999999996</v>
      </c>
      <c r="U33" s="1">
        <v>3653.84</v>
      </c>
      <c r="V33" s="29">
        <v>2265.58</v>
      </c>
    </row>
    <row r="34" spans="1:23" x14ac:dyDescent="0.25">
      <c r="A34" s="20" t="s">
        <v>44</v>
      </c>
      <c r="B34" s="27" t="str">
        <f t="shared" si="3"/>
        <v/>
      </c>
      <c r="C34" s="110">
        <v>-220.11999999999998</v>
      </c>
      <c r="D34" s="37">
        <v>0</v>
      </c>
      <c r="E34" s="123">
        <v>154.96</v>
      </c>
      <c r="F34" s="37">
        <v>0</v>
      </c>
      <c r="G34" s="37">
        <v>8.92</v>
      </c>
      <c r="H34" s="37">
        <v>0</v>
      </c>
      <c r="I34" s="37">
        <v>11.1</v>
      </c>
      <c r="J34" s="37">
        <v>6</v>
      </c>
      <c r="K34" s="1">
        <v>0</v>
      </c>
      <c r="L34" s="1">
        <v>1.54</v>
      </c>
      <c r="M34" s="1">
        <v>0</v>
      </c>
      <c r="N34" s="1">
        <v>29.58</v>
      </c>
      <c r="O34" s="1">
        <v>84.3</v>
      </c>
      <c r="P34" s="1">
        <v>12.5</v>
      </c>
      <c r="Q34" s="1">
        <v>253.6</v>
      </c>
      <c r="R34" s="1">
        <v>15.42</v>
      </c>
      <c r="S34" s="1">
        <v>0.52</v>
      </c>
      <c r="T34" s="1">
        <v>90.98</v>
      </c>
      <c r="U34" s="1">
        <v>1.96</v>
      </c>
      <c r="V34" s="29">
        <v>28.06</v>
      </c>
    </row>
    <row r="35" spans="1:23" x14ac:dyDescent="0.25">
      <c r="A35" s="39" t="s">
        <v>151</v>
      </c>
      <c r="B35" s="27" t="str">
        <f t="shared" si="3"/>
        <v/>
      </c>
      <c r="C35" s="110">
        <v>-53.08</v>
      </c>
      <c r="D35" s="37">
        <v>0</v>
      </c>
      <c r="E35" s="123"/>
      <c r="F35" s="37">
        <v>0</v>
      </c>
      <c r="G35" s="37">
        <v>0</v>
      </c>
      <c r="H35" s="37">
        <v>0</v>
      </c>
      <c r="I35" s="37">
        <v>0</v>
      </c>
      <c r="J35" s="37">
        <v>4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70.06</v>
      </c>
      <c r="R35" s="1">
        <v>0</v>
      </c>
      <c r="S35" s="1"/>
      <c r="T35" s="1"/>
      <c r="U35" s="1"/>
      <c r="V35" s="29"/>
    </row>
    <row r="36" spans="1:23" x14ac:dyDescent="0.25">
      <c r="A36" s="20" t="s">
        <v>45</v>
      </c>
      <c r="B36" s="27" t="str">
        <f t="shared" si="3"/>
        <v/>
      </c>
      <c r="C36" s="110">
        <v>-9.68</v>
      </c>
      <c r="D36" s="37">
        <v>0</v>
      </c>
      <c r="E36" s="123">
        <v>1.18</v>
      </c>
      <c r="F36" s="37">
        <v>0</v>
      </c>
      <c r="G36" s="37">
        <v>0</v>
      </c>
      <c r="H36" s="37">
        <v>0</v>
      </c>
      <c r="I36" s="37">
        <v>0</v>
      </c>
      <c r="J36" s="37">
        <v>1</v>
      </c>
      <c r="K36" s="1">
        <v>14</v>
      </c>
      <c r="L36" s="1">
        <v>0</v>
      </c>
      <c r="M36" s="1">
        <v>0</v>
      </c>
      <c r="N36" s="1">
        <v>7</v>
      </c>
      <c r="O36" s="1">
        <v>46.86</v>
      </c>
      <c r="P36" s="1">
        <v>0.68</v>
      </c>
      <c r="Q36" s="1">
        <v>21.34</v>
      </c>
      <c r="R36" s="1">
        <v>5.6</v>
      </c>
      <c r="S36" s="1">
        <v>11.22</v>
      </c>
      <c r="T36" s="1">
        <v>0</v>
      </c>
      <c r="U36" s="1">
        <v>0</v>
      </c>
      <c r="V36" s="29">
        <v>13.18</v>
      </c>
    </row>
    <row r="37" spans="1:23" x14ac:dyDescent="0.25">
      <c r="A37" s="39" t="s">
        <v>165</v>
      </c>
      <c r="B37" s="27" t="str">
        <f t="shared" si="3"/>
        <v/>
      </c>
      <c r="C37" s="110">
        <v>-156.40000000000003</v>
      </c>
      <c r="D37" s="37">
        <v>0</v>
      </c>
      <c r="E37" s="123">
        <v>92.46</v>
      </c>
      <c r="F37" s="37">
        <v>0</v>
      </c>
      <c r="G37" s="37">
        <v>0</v>
      </c>
      <c r="H37" s="37">
        <v>0</v>
      </c>
      <c r="I37" s="37">
        <v>0</v>
      </c>
      <c r="J37" s="37">
        <v>2</v>
      </c>
      <c r="K37" s="1">
        <v>0</v>
      </c>
      <c r="L37" s="1">
        <v>4</v>
      </c>
      <c r="M37" s="1">
        <v>0</v>
      </c>
      <c r="N37" s="1"/>
      <c r="O37" s="1"/>
      <c r="P37" s="1"/>
      <c r="Q37" s="1"/>
      <c r="R37" s="1"/>
      <c r="S37" s="1"/>
      <c r="T37" s="1"/>
      <c r="U37" s="1"/>
      <c r="V37" s="29"/>
    </row>
    <row r="38" spans="1:23" x14ac:dyDescent="0.25">
      <c r="A38" s="20" t="s">
        <v>46</v>
      </c>
      <c r="B38" s="27" t="str">
        <f t="shared" si="3"/>
        <v/>
      </c>
      <c r="C38" s="110">
        <v>0</v>
      </c>
      <c r="D38" s="37">
        <v>0</v>
      </c>
      <c r="E38" s="123"/>
      <c r="F38" s="37"/>
      <c r="G38" s="37"/>
      <c r="H38" s="37">
        <v>0</v>
      </c>
      <c r="I38" s="37"/>
      <c r="J38" s="37"/>
      <c r="K38" s="1">
        <v>0</v>
      </c>
      <c r="L38" s="1">
        <v>0</v>
      </c>
      <c r="M38" s="1">
        <v>0</v>
      </c>
      <c r="N38" s="1"/>
      <c r="O38" s="1"/>
      <c r="P38" s="1"/>
      <c r="Q38" s="1">
        <v>21.24</v>
      </c>
      <c r="R38" s="1">
        <v>0</v>
      </c>
      <c r="S38" s="1">
        <v>6.14</v>
      </c>
      <c r="T38" s="1">
        <v>16.260000000000002</v>
      </c>
      <c r="U38" s="1">
        <v>0</v>
      </c>
      <c r="V38" s="29">
        <v>0</v>
      </c>
    </row>
    <row r="39" spans="1:23" x14ac:dyDescent="0.25">
      <c r="A39" s="20" t="s">
        <v>48</v>
      </c>
      <c r="B39" s="27">
        <f t="shared" si="3"/>
        <v>1.8109674543022736</v>
      </c>
      <c r="C39" s="110">
        <v>-95.480000000000018</v>
      </c>
      <c r="D39" s="37">
        <v>-82.5</v>
      </c>
      <c r="E39" s="123">
        <v>126.1</v>
      </c>
      <c r="F39" s="37">
        <v>44.86</v>
      </c>
      <c r="G39" s="37">
        <v>9.74</v>
      </c>
      <c r="H39" s="37">
        <v>0</v>
      </c>
      <c r="I39" s="37">
        <v>0</v>
      </c>
      <c r="J39" s="37">
        <v>13</v>
      </c>
      <c r="K39" s="1">
        <v>14.68</v>
      </c>
      <c r="L39" s="70">
        <v>6</v>
      </c>
      <c r="M39" s="1">
        <v>30.26</v>
      </c>
      <c r="N39" s="1">
        <v>64.28</v>
      </c>
      <c r="O39" s="1">
        <v>18.64</v>
      </c>
      <c r="P39" s="1">
        <v>54.72</v>
      </c>
      <c r="Q39" s="1">
        <v>7.14</v>
      </c>
      <c r="R39" s="1">
        <v>0.08</v>
      </c>
      <c r="S39" s="1">
        <v>0.74</v>
      </c>
      <c r="T39" s="1">
        <v>116.66</v>
      </c>
      <c r="U39" s="1">
        <v>49.3</v>
      </c>
      <c r="V39" s="29">
        <v>189.06</v>
      </c>
    </row>
    <row r="40" spans="1:23" ht="13.8" thickBot="1" x14ac:dyDescent="0.3">
      <c r="A40" s="30" t="s">
        <v>47</v>
      </c>
      <c r="B40" s="28">
        <f t="shared" si="3"/>
        <v>2.2888198757763973</v>
      </c>
      <c r="C40" s="111">
        <v>-1485.06</v>
      </c>
      <c r="D40" s="64">
        <v>-1530.04</v>
      </c>
      <c r="E40" s="42">
        <v>63.54</v>
      </c>
      <c r="F40" s="64">
        <v>19.32</v>
      </c>
      <c r="G40" s="64">
        <v>780.34</v>
      </c>
      <c r="H40" s="64">
        <v>0</v>
      </c>
      <c r="I40" s="64">
        <v>0</v>
      </c>
      <c r="J40" s="64">
        <v>0</v>
      </c>
      <c r="K40" s="10">
        <v>13.54</v>
      </c>
      <c r="L40" s="71">
        <v>0</v>
      </c>
      <c r="M40" s="71">
        <v>0</v>
      </c>
      <c r="N40" s="71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3</v>
      </c>
      <c r="V40" s="31">
        <v>0</v>
      </c>
    </row>
    <row r="41" spans="1:23" ht="13.8" thickBot="1" x14ac:dyDescent="0.3">
      <c r="A41" s="32" t="s">
        <v>23</v>
      </c>
      <c r="B41" s="33">
        <f t="shared" si="3"/>
        <v>7.8949943518835025E-2</v>
      </c>
      <c r="C41" s="115">
        <v>-32438.340000000018</v>
      </c>
      <c r="D41" s="34">
        <v>-24050.279999999992</v>
      </c>
      <c r="E41" s="85">
        <f>SUM(E31:E40)</f>
        <v>55130.759999999987</v>
      </c>
      <c r="F41" s="34">
        <f>SUM(F31:F40)</f>
        <v>51096.68</v>
      </c>
      <c r="G41" s="34">
        <f>SUM(G31:G40)</f>
        <v>63482.06</v>
      </c>
      <c r="H41" s="34">
        <f>SUM(H31:H40)</f>
        <v>50285.460000000006</v>
      </c>
      <c r="I41" s="34">
        <f t="shared" ref="I41:N41" si="4">SUM(I31:I40)</f>
        <v>62734.999999999993</v>
      </c>
      <c r="J41" s="34">
        <f t="shared" si="4"/>
        <v>70791</v>
      </c>
      <c r="K41" s="34">
        <f t="shared" si="4"/>
        <v>57209.84</v>
      </c>
      <c r="L41" s="34">
        <f t="shared" si="4"/>
        <v>57799.9</v>
      </c>
      <c r="M41" s="34">
        <f t="shared" si="4"/>
        <v>47126.32</v>
      </c>
      <c r="N41" s="34">
        <f t="shared" si="4"/>
        <v>76360.72</v>
      </c>
      <c r="O41" s="34">
        <f t="shared" ref="O41:V41" si="5">SUM(O31:O40)</f>
        <v>69296.98</v>
      </c>
      <c r="P41" s="34">
        <f t="shared" si="5"/>
        <v>55871</v>
      </c>
      <c r="Q41" s="34">
        <f t="shared" si="5"/>
        <v>82512.259999999995</v>
      </c>
      <c r="R41" s="34">
        <f t="shared" si="5"/>
        <v>64106.6</v>
      </c>
      <c r="S41" s="34">
        <f t="shared" si="5"/>
        <v>61040.459999999992</v>
      </c>
      <c r="T41" s="34">
        <f t="shared" si="5"/>
        <v>53771.16</v>
      </c>
      <c r="U41" s="34">
        <f t="shared" si="5"/>
        <v>56285.299999999996</v>
      </c>
      <c r="V41" s="34">
        <f t="shared" si="5"/>
        <v>33958.419999999991</v>
      </c>
    </row>
    <row r="48" spans="1:23" ht="17.399999999999999" x14ac:dyDescent="0.3">
      <c r="U48" s="5"/>
      <c r="V48" s="1"/>
      <c r="W48" s="1"/>
    </row>
    <row r="49" spans="21:23" ht="17.399999999999999" x14ac:dyDescent="0.3">
      <c r="U49" s="5"/>
      <c r="V49" s="1"/>
      <c r="W49" s="1"/>
    </row>
    <row r="50" spans="21:23" ht="17.399999999999999" x14ac:dyDescent="0.3">
      <c r="U50" s="5"/>
      <c r="V50" s="1"/>
      <c r="W50" s="1"/>
    </row>
    <row r="51" spans="21:23" ht="17.399999999999999" x14ac:dyDescent="0.3">
      <c r="U51" s="5"/>
      <c r="V51" s="1"/>
      <c r="W51" s="1"/>
    </row>
    <row r="52" spans="21:23" ht="17.399999999999999" x14ac:dyDescent="0.3">
      <c r="U52" s="5"/>
      <c r="V52" s="1"/>
      <c r="W52" s="1"/>
    </row>
    <row r="53" spans="21:23" ht="17.399999999999999" x14ac:dyDescent="0.3">
      <c r="U53" s="5"/>
      <c r="V53" s="1"/>
      <c r="W53" s="1"/>
    </row>
    <row r="54" spans="21:23" ht="17.399999999999999" x14ac:dyDescent="0.3">
      <c r="U54" s="5"/>
      <c r="V54" s="1"/>
      <c r="W54" s="1"/>
    </row>
    <row r="55" spans="21:23" ht="17.399999999999999" x14ac:dyDescent="0.3">
      <c r="U55" s="5"/>
      <c r="V55" s="1"/>
      <c r="W55" s="1"/>
    </row>
    <row r="56" spans="21:23" ht="17.399999999999999" x14ac:dyDescent="0.3">
      <c r="U56" s="5"/>
      <c r="V56" s="1"/>
      <c r="W56" s="1"/>
    </row>
    <row r="57" spans="21:23" ht="17.399999999999999" x14ac:dyDescent="0.3">
      <c r="U57" s="5"/>
      <c r="V57" s="1"/>
      <c r="W57" s="1"/>
    </row>
    <row r="58" spans="21:23" ht="17.399999999999999" x14ac:dyDescent="0.3">
      <c r="U58" s="6"/>
      <c r="V58" s="1"/>
      <c r="W58" s="1"/>
    </row>
    <row r="59" spans="21:23" ht="18" x14ac:dyDescent="0.35">
      <c r="U59" s="7"/>
      <c r="V59" s="2"/>
      <c r="W59" s="2"/>
    </row>
  </sheetData>
  <phoneticPr fontId="2" type="noConversion"/>
  <pageMargins left="0.75" right="0.75" top="1" bottom="1" header="0.5" footer="0.5"/>
  <pageSetup paperSize="9" scale="85" orientation="landscape"/>
  <headerFooter alignWithMargins="0"/>
  <ignoredErrors>
    <ignoredError sqref="G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81"/>
  <sheetViews>
    <sheetView tabSelected="1" zoomScaleNormal="100" workbookViewId="0"/>
  </sheetViews>
  <sheetFormatPr defaultColWidth="8.77734375" defaultRowHeight="13.2" x14ac:dyDescent="0.25"/>
  <cols>
    <col min="1" max="1" width="21.77734375" customWidth="1"/>
    <col min="2" max="2" width="10.77734375" customWidth="1"/>
    <col min="3" max="4" width="11.6640625" bestFit="1" customWidth="1"/>
    <col min="5" max="10" width="11.6640625" customWidth="1"/>
    <col min="11" max="11" width="11.77734375" customWidth="1"/>
    <col min="12" max="12" width="10.77734375" customWidth="1"/>
    <col min="13" max="22" width="10.109375" bestFit="1" customWidth="1"/>
  </cols>
  <sheetData>
    <row r="1" spans="1:24" ht="13.8" thickBot="1" x14ac:dyDescent="0.3">
      <c r="A1" s="23" t="s">
        <v>24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5">
        <v>40269</v>
      </c>
      <c r="T1" s="25">
        <v>39904</v>
      </c>
      <c r="U1" s="25">
        <v>39539</v>
      </c>
      <c r="V1" s="26">
        <v>39173</v>
      </c>
    </row>
    <row r="2" spans="1:24" x14ac:dyDescent="0.25">
      <c r="A2" s="131" t="s">
        <v>8</v>
      </c>
      <c r="B2" s="27">
        <f t="shared" ref="B2:B16" si="0">IFERROR(((E2-F2)/F2),"")</f>
        <v>-0.25834082344363979</v>
      </c>
      <c r="C2" s="109">
        <v>-13869.306536157455</v>
      </c>
      <c r="D2" s="1">
        <v>-18401.502192982458</v>
      </c>
      <c r="E2" s="91">
        <f>Austria!E$21</f>
        <v>50972.53556910569</v>
      </c>
      <c r="F2" s="1">
        <f>Austria!F$21</f>
        <v>68727.708333333328</v>
      </c>
      <c r="G2" s="1">
        <f>Austria!G$21</f>
        <v>55777.916666666664</v>
      </c>
      <c r="H2" s="1">
        <f>Austria!H$21</f>
        <v>57735.249999999993</v>
      </c>
      <c r="I2" s="1">
        <f>Austria!I$21</f>
        <v>43068</v>
      </c>
      <c r="J2" s="1">
        <f>Austria!J$21</f>
        <v>73183.839999999997</v>
      </c>
      <c r="K2" s="1">
        <f>Austria!K$21</f>
        <v>27178</v>
      </c>
      <c r="L2" s="1">
        <f>Austria!L$21</f>
        <v>13851.8</v>
      </c>
      <c r="M2" s="1">
        <f>Austria!M$21</f>
        <v>76315.62</v>
      </c>
      <c r="N2" s="1">
        <f>Austria!N$21</f>
        <v>76178.22</v>
      </c>
      <c r="O2" s="1">
        <f>Austria!O$21</f>
        <v>77032</v>
      </c>
      <c r="P2" s="1">
        <f>Austria!P$21</f>
        <v>56929.320000000007</v>
      </c>
      <c r="Q2" s="1">
        <f>Austria!Q$21</f>
        <v>86832</v>
      </c>
      <c r="R2" s="1">
        <f>Austria!R$21</f>
        <v>78526</v>
      </c>
      <c r="S2" s="1">
        <f>Austria!S$21</f>
        <v>82632</v>
      </c>
      <c r="T2" s="1">
        <v>78965</v>
      </c>
      <c r="U2" s="1">
        <v>62632</v>
      </c>
      <c r="V2" s="29">
        <v>60027</v>
      </c>
      <c r="X2" s="3"/>
    </row>
    <row r="3" spans="1:24" x14ac:dyDescent="0.25">
      <c r="A3" s="131" t="s">
        <v>0</v>
      </c>
      <c r="B3" s="27">
        <f t="shared" si="0"/>
        <v>7.8459740788471372E-2</v>
      </c>
      <c r="C3" s="109">
        <v>-14190.96932629295</v>
      </c>
      <c r="D3" s="1">
        <v>-13941.856815746818</v>
      </c>
      <c r="E3" s="91">
        <f>Belgium!E$10</f>
        <v>46165.780542384666</v>
      </c>
      <c r="F3" s="1">
        <f>Belgium!F$10</f>
        <v>42807.143184253182</v>
      </c>
      <c r="G3" s="1">
        <f>Belgium!G$10</f>
        <v>85276.480453761527</v>
      </c>
      <c r="H3" s="1">
        <f>Belgium!H$10</f>
        <v>51241</v>
      </c>
      <c r="I3" s="1">
        <f>Belgium!I$10</f>
        <v>76208</v>
      </c>
      <c r="J3" s="1">
        <f>Belgium!J$10</f>
        <v>73268</v>
      </c>
      <c r="K3" s="1">
        <f>Belgium!K$10</f>
        <v>8257</v>
      </c>
      <c r="L3" s="1">
        <f>Belgium!L$10</f>
        <v>45613</v>
      </c>
      <c r="M3" s="1">
        <f>Belgium!M$10</f>
        <v>88378</v>
      </c>
      <c r="N3" s="1">
        <f>Belgium!N$10</f>
        <v>102838</v>
      </c>
      <c r="O3" s="1">
        <f>Belgium!O$10</f>
        <v>55031</v>
      </c>
      <c r="P3" s="1">
        <f>Belgium!P$10</f>
        <v>45956</v>
      </c>
      <c r="Q3" s="1">
        <f>Belgium!Q$10</f>
        <v>56410</v>
      </c>
      <c r="R3" s="1">
        <f>Belgium!R$10</f>
        <v>59307.255145342984</v>
      </c>
      <c r="S3" s="1">
        <f>Belgium!S$10</f>
        <v>92731</v>
      </c>
      <c r="T3" s="1">
        <v>136700</v>
      </c>
      <c r="U3" s="1">
        <v>128100</v>
      </c>
      <c r="V3" s="29">
        <v>112200</v>
      </c>
    </row>
    <row r="4" spans="1:24" x14ac:dyDescent="0.25">
      <c r="A4" s="131" t="s">
        <v>31</v>
      </c>
      <c r="B4" s="27">
        <f t="shared" si="0"/>
        <v>-0.25660234223128348</v>
      </c>
      <c r="C4" s="109">
        <v>-7352</v>
      </c>
      <c r="D4" s="1">
        <v>-9628</v>
      </c>
      <c r="E4" s="91">
        <f>'Czech Republic'!E$12</f>
        <v>15679</v>
      </c>
      <c r="F4" s="1">
        <f>'Czech Republic'!F$12</f>
        <v>21091</v>
      </c>
      <c r="G4" s="1">
        <f>'Czech Republic'!G$12</f>
        <v>21783</v>
      </c>
      <c r="H4" s="1">
        <f>'Czech Republic'!H$12</f>
        <v>18076</v>
      </c>
      <c r="I4" s="1">
        <f>'Czech Republic'!I$12</f>
        <v>12807</v>
      </c>
      <c r="J4" s="1">
        <f>'Czech Republic'!J$12</f>
        <v>26740</v>
      </c>
      <c r="K4" s="1">
        <f>'Czech Republic'!K$12</f>
        <v>12952</v>
      </c>
      <c r="L4" s="1">
        <f>'Czech Republic'!L$12</f>
        <v>10518</v>
      </c>
      <c r="M4" s="1">
        <f>'Czech Republic'!M$12</f>
        <v>20007</v>
      </c>
      <c r="N4" s="1">
        <f>'Czech Republic'!N$12</f>
        <v>12168</v>
      </c>
      <c r="O4" s="1">
        <f>'Czech Republic'!O$12</f>
        <v>13775</v>
      </c>
      <c r="P4" s="1">
        <f>'Czech Republic'!P$12</f>
        <v>9819</v>
      </c>
      <c r="Q4" s="1">
        <f>'Czech Republic'!Q$12</f>
        <v>5977</v>
      </c>
      <c r="R4" s="1">
        <f>'Czech Republic'!R$12</f>
        <v>6570</v>
      </c>
      <c r="S4" s="1">
        <f>'Czech Republic'!S$12</f>
        <v>14995</v>
      </c>
      <c r="T4" s="1">
        <v>16065</v>
      </c>
      <c r="U4" s="1">
        <v>5802</v>
      </c>
      <c r="V4" s="29">
        <v>13783</v>
      </c>
      <c r="X4" s="3"/>
    </row>
    <row r="5" spans="1:24" x14ac:dyDescent="0.25">
      <c r="A5" s="131" t="s">
        <v>40</v>
      </c>
      <c r="B5" s="27">
        <f t="shared" si="0"/>
        <v>-0.77659963436928703</v>
      </c>
      <c r="C5" s="109">
        <v>-1915</v>
      </c>
      <c r="D5" s="1">
        <v>-1837</v>
      </c>
      <c r="E5" s="91">
        <f>Denmark!E$20</f>
        <v>611</v>
      </c>
      <c r="F5" s="1">
        <f>Denmark!F$20</f>
        <v>2735</v>
      </c>
      <c r="G5" s="1">
        <f>Denmark!G$20</f>
        <v>3865</v>
      </c>
      <c r="H5" s="1">
        <f>Denmark!H$20</f>
        <v>1402</v>
      </c>
      <c r="I5" s="1">
        <f>Denmark!I$20</f>
        <v>624</v>
      </c>
      <c r="J5" s="1">
        <f>Denmark!J$20</f>
        <v>4451</v>
      </c>
      <c r="K5" s="1">
        <f>Denmark!K$20</f>
        <v>1474</v>
      </c>
      <c r="L5" s="1">
        <f>Denmark!L$20</f>
        <v>3374</v>
      </c>
      <c r="M5" s="1">
        <f>Denmark!M$20</f>
        <v>3650</v>
      </c>
      <c r="N5" s="1">
        <f>Denmark!N$20</f>
        <v>1926</v>
      </c>
      <c r="O5" s="1">
        <f>Denmark!O$20</f>
        <v>1196</v>
      </c>
      <c r="P5" s="1">
        <f>Denmark!P$20</f>
        <v>473</v>
      </c>
      <c r="Q5" s="1">
        <f>Denmark!Q$20</f>
        <v>1196</v>
      </c>
      <c r="R5" s="1">
        <f>Denmark!R$20</f>
        <v>466</v>
      </c>
      <c r="S5" s="1">
        <f>Denmark!S$20</f>
        <v>1347</v>
      </c>
      <c r="T5" s="1">
        <v>1703</v>
      </c>
      <c r="U5" s="1">
        <v>338</v>
      </c>
      <c r="V5" s="29">
        <v>0</v>
      </c>
      <c r="X5" s="3"/>
    </row>
    <row r="6" spans="1:24" ht="14.4" x14ac:dyDescent="0.3">
      <c r="A6" s="39" t="s">
        <v>132</v>
      </c>
      <c r="B6" s="27">
        <f t="shared" si="0"/>
        <v>0.18033242624170404</v>
      </c>
      <c r="C6" s="109">
        <v>-124693</v>
      </c>
      <c r="D6" s="1">
        <v>-131621</v>
      </c>
      <c r="E6" s="91">
        <f>France!E$26</f>
        <v>301451</v>
      </c>
      <c r="F6" s="1">
        <f>France!F$26</f>
        <v>255395</v>
      </c>
      <c r="G6" s="1">
        <f>France!G$26</f>
        <v>305549</v>
      </c>
      <c r="H6" s="1">
        <f>France!H$26</f>
        <v>244376</v>
      </c>
      <c r="I6" s="1">
        <f>France!I$26</f>
        <v>335762</v>
      </c>
      <c r="J6" s="1">
        <f>France!J$26</f>
        <v>305009</v>
      </c>
      <c r="K6" s="1">
        <f>France!K$26</f>
        <v>249925</v>
      </c>
      <c r="L6" s="37">
        <f>France!L$26</f>
        <v>263713</v>
      </c>
      <c r="M6" s="37">
        <f>France!M$26</f>
        <v>267758</v>
      </c>
      <c r="N6" s="37">
        <f>France!N$26</f>
        <v>244349</v>
      </c>
      <c r="O6" s="37">
        <f>France!O$26</f>
        <v>330952</v>
      </c>
      <c r="P6" s="37">
        <f>France!P$26</f>
        <v>141787</v>
      </c>
      <c r="Q6" s="37">
        <f>France!Q$26</f>
        <v>254670</v>
      </c>
      <c r="R6" s="37">
        <f>France!R$26</f>
        <v>250129</v>
      </c>
      <c r="S6" s="37">
        <f>France!S$26</f>
        <v>285689</v>
      </c>
      <c r="T6" s="92"/>
      <c r="U6" s="92"/>
      <c r="V6" s="93"/>
      <c r="X6" s="3"/>
    </row>
    <row r="7" spans="1:24" x14ac:dyDescent="0.25">
      <c r="A7" s="131" t="s">
        <v>28</v>
      </c>
      <c r="B7" s="27">
        <f t="shared" si="0"/>
        <v>-0.20930504809025319</v>
      </c>
      <c r="C7" s="109">
        <v>-39757</v>
      </c>
      <c r="D7" s="1">
        <v>-62135</v>
      </c>
      <c r="E7" s="91">
        <f>Germany!E$21</f>
        <v>128329</v>
      </c>
      <c r="F7" s="1">
        <f>Germany!F$21</f>
        <v>162299</v>
      </c>
      <c r="G7" s="1">
        <f>Germany!G$21</f>
        <v>172707</v>
      </c>
      <c r="H7" s="1">
        <f>Germany!H$21</f>
        <v>139630</v>
      </c>
      <c r="I7" s="1">
        <f>Germany!I$21</f>
        <v>121414</v>
      </c>
      <c r="J7" s="1">
        <f>Germany!J$21</f>
        <v>188961</v>
      </c>
      <c r="K7" s="1">
        <f>Germany!K$21</f>
        <v>74908</v>
      </c>
      <c r="L7" s="1">
        <f>Germany!L$21</f>
        <v>178868</v>
      </c>
      <c r="M7" s="1">
        <f>Germany!M$21</f>
        <v>166316</v>
      </c>
      <c r="N7" s="1">
        <f>Germany!N$21</f>
        <v>176047</v>
      </c>
      <c r="O7" s="1">
        <f>Germany!O$21</f>
        <v>132550</v>
      </c>
      <c r="P7" s="1">
        <f>Germany!P$21</f>
        <v>153150</v>
      </c>
      <c r="Q7" s="1">
        <f>Germany!Q$21</f>
        <v>157895</v>
      </c>
      <c r="R7" s="1">
        <f>Germany!R$21</f>
        <v>114708</v>
      </c>
      <c r="S7" s="1">
        <f>Germany!S$21</f>
        <v>157794</v>
      </c>
      <c r="T7" s="1">
        <v>137522</v>
      </c>
      <c r="U7" s="1">
        <v>113628</v>
      </c>
      <c r="V7" s="29">
        <v>121361</v>
      </c>
      <c r="X7" s="3"/>
    </row>
    <row r="8" spans="1:24" x14ac:dyDescent="0.25">
      <c r="A8" s="131" t="s">
        <v>16</v>
      </c>
      <c r="B8" s="27">
        <f t="shared" si="0"/>
        <v>0.16960988029822799</v>
      </c>
      <c r="C8" s="109">
        <v>-203921.0134346002</v>
      </c>
      <c r="D8" s="1">
        <v>-220785.69986312604</v>
      </c>
      <c r="E8" s="91">
        <f>Italy!E20</f>
        <v>636932.46433729865</v>
      </c>
      <c r="F8" s="1">
        <f>Italy!F20</f>
        <v>544568.30013687396</v>
      </c>
      <c r="G8" s="1">
        <f>Italy!G20</f>
        <v>619673.19556632405</v>
      </c>
      <c r="H8" s="1">
        <f>Italy!H20</f>
        <v>607116.19999999995</v>
      </c>
      <c r="I8" s="1">
        <f>Italy!I20</f>
        <v>556714.00613923301</v>
      </c>
      <c r="J8" s="1">
        <f>Italy!J$20</f>
        <v>692394.59999999986</v>
      </c>
      <c r="K8" s="1">
        <f>Italy!K$20</f>
        <v>326613</v>
      </c>
      <c r="L8" s="1">
        <f>Italy!L$20</f>
        <v>673776.64500000014</v>
      </c>
      <c r="M8" s="1">
        <f>Italy!M$20</f>
        <v>681203.5120000001</v>
      </c>
      <c r="N8" s="1">
        <f>Italy!N$20</f>
        <v>707376</v>
      </c>
      <c r="O8" s="1">
        <f>Italy!O$20</f>
        <v>608664</v>
      </c>
      <c r="P8" s="1">
        <f>Italy!P$20</f>
        <v>472911</v>
      </c>
      <c r="Q8" s="1">
        <f>Italy!Q$20</f>
        <v>596108</v>
      </c>
      <c r="R8" s="1">
        <f>Italy!R$20</f>
        <v>582902</v>
      </c>
      <c r="S8" s="1">
        <f>Italy!S$20</f>
        <v>585606.15999999992</v>
      </c>
      <c r="T8" s="1">
        <v>615685.20000000007</v>
      </c>
      <c r="U8" s="1">
        <v>484917.1</v>
      </c>
      <c r="V8" s="29">
        <v>495348</v>
      </c>
    </row>
    <row r="9" spans="1:24" x14ac:dyDescent="0.25">
      <c r="A9" s="39" t="s">
        <v>32</v>
      </c>
      <c r="B9" s="27">
        <f t="shared" si="0"/>
        <v>-0.10301953818827708</v>
      </c>
      <c r="C9" s="109">
        <v>-201000</v>
      </c>
      <c r="D9" s="1">
        <v>-202000</v>
      </c>
      <c r="E9" s="91">
        <f>Poland!E$18</f>
        <v>505000</v>
      </c>
      <c r="F9" s="1">
        <f>Poland!F$18</f>
        <v>563000</v>
      </c>
      <c r="G9" s="1">
        <f>Poland!G$18</f>
        <v>617000</v>
      </c>
      <c r="H9" s="1">
        <f>Poland!H$18</f>
        <v>592000</v>
      </c>
      <c r="I9" s="1">
        <f>Poland!I$18</f>
        <v>329000</v>
      </c>
      <c r="J9" s="1">
        <f>Poland!J$18</f>
        <v>665000</v>
      </c>
      <c r="K9" s="1">
        <f>Poland!K$18</f>
        <v>286000</v>
      </c>
      <c r="L9" s="37">
        <f>Poland!L$18</f>
        <v>580000</v>
      </c>
      <c r="M9" s="37">
        <f>Poland!M$18</f>
        <v>595000</v>
      </c>
      <c r="N9" s="37">
        <f>Poland!N$18</f>
        <v>502000</v>
      </c>
      <c r="O9" s="37">
        <f>Poland!O$18</f>
        <v>495000</v>
      </c>
      <c r="P9" s="37">
        <f>Poland!P$18</f>
        <v>400000</v>
      </c>
      <c r="Q9" s="37">
        <f>Poland!Q$18</f>
        <v>385000</v>
      </c>
      <c r="R9" s="37">
        <f>Poland!R$18</f>
        <v>130000</v>
      </c>
      <c r="S9" s="37">
        <f>Poland!S$18</f>
        <v>250000</v>
      </c>
      <c r="T9" s="37">
        <v>165000</v>
      </c>
      <c r="U9" s="37">
        <v>80000</v>
      </c>
      <c r="V9" s="59">
        <v>110000</v>
      </c>
      <c r="X9" s="3"/>
    </row>
    <row r="10" spans="1:24" hidden="1" x14ac:dyDescent="0.25">
      <c r="A10" s="39" t="s">
        <v>146</v>
      </c>
      <c r="B10" s="27" t="str">
        <f t="shared" si="0"/>
        <v/>
      </c>
      <c r="C10" s="109">
        <v>0</v>
      </c>
      <c r="D10" s="1">
        <v>0</v>
      </c>
      <c r="E10" s="91"/>
      <c r="F10" s="1"/>
      <c r="G10" s="1"/>
      <c r="H10" s="1"/>
      <c r="I10" s="1"/>
      <c r="J10" s="1"/>
      <c r="K10" s="1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59"/>
      <c r="X10" s="3"/>
    </row>
    <row r="11" spans="1:24" hidden="1" x14ac:dyDescent="0.25">
      <c r="A11" s="39" t="s">
        <v>175</v>
      </c>
      <c r="B11" s="27" t="str">
        <f t="shared" si="0"/>
        <v/>
      </c>
      <c r="C11" s="109">
        <v>0</v>
      </c>
      <c r="D11" s="1">
        <v>0</v>
      </c>
      <c r="E11" s="91"/>
      <c r="F11" s="1"/>
      <c r="G11" s="1"/>
      <c r="H11" s="1"/>
      <c r="I11" s="1"/>
      <c r="J11" s="1"/>
      <c r="K11" s="1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59"/>
      <c r="X11" s="3"/>
    </row>
    <row r="12" spans="1:24" x14ac:dyDescent="0.25">
      <c r="A12" s="131" t="s">
        <v>37</v>
      </c>
      <c r="B12" s="27">
        <f t="shared" si="0"/>
        <v>0.36678707143340733</v>
      </c>
      <c r="C12" s="109">
        <v>-24662.254192925306</v>
      </c>
      <c r="D12" s="1">
        <v>-27064.776743140552</v>
      </c>
      <c r="E12" s="91">
        <f>Spain!E$8</f>
        <v>113004.45241214971</v>
      </c>
      <c r="F12" s="1">
        <f>Spain!F$8</f>
        <v>82678.900593958038</v>
      </c>
      <c r="G12" s="1">
        <f>Spain!G$8</f>
        <v>140221.20462254473</v>
      </c>
      <c r="H12" s="1">
        <f>Spain!H$8</f>
        <v>88447.893846259278</v>
      </c>
      <c r="I12" s="1">
        <f>Spain!I$8</f>
        <v>147270.06203051447</v>
      </c>
      <c r="J12" s="1">
        <f>Spain!J$8</f>
        <v>111614</v>
      </c>
      <c r="K12" s="1">
        <f>Spain!K$8</f>
        <v>88490</v>
      </c>
      <c r="L12" s="1">
        <f>Spain!L$8</f>
        <v>125751.73689310774</v>
      </c>
      <c r="M12" s="1">
        <f>Spain!M$8</f>
        <v>90361.609288090141</v>
      </c>
      <c r="N12" s="1">
        <f>Spain!N$8</f>
        <v>101100.77488239626</v>
      </c>
      <c r="O12" s="1">
        <f>Spain!O$8</f>
        <v>89872.261951597146</v>
      </c>
      <c r="P12" s="1">
        <f>Spain!P$8</f>
        <v>54084.798070911478</v>
      </c>
      <c r="Q12" s="1">
        <f>Spain!Q$8</f>
        <v>96055.348517834558</v>
      </c>
      <c r="R12" s="1">
        <f>Spain!R$8</f>
        <v>82666</v>
      </c>
      <c r="S12" s="1">
        <f>Spain!S$8</f>
        <v>74812.849279070084</v>
      </c>
      <c r="T12" s="1">
        <v>106287.422811934</v>
      </c>
      <c r="U12" s="1">
        <v>76346</v>
      </c>
      <c r="V12" s="29">
        <v>64969</v>
      </c>
      <c r="X12" s="3"/>
    </row>
    <row r="13" spans="1:24" x14ac:dyDescent="0.25">
      <c r="A13" s="131" t="s">
        <v>60</v>
      </c>
      <c r="B13" s="27">
        <f t="shared" si="0"/>
        <v>-5.232364376967228E-2</v>
      </c>
      <c r="C13" s="109">
        <v>-8193</v>
      </c>
      <c r="D13" s="1">
        <v>-9934</v>
      </c>
      <c r="E13" s="91">
        <f>Switzerland!E$19</f>
        <v>25592</v>
      </c>
      <c r="F13" s="1">
        <f>Switzerland!F$19</f>
        <v>27005</v>
      </c>
      <c r="G13" s="1">
        <f>Switzerland!G$19</f>
        <v>33445</v>
      </c>
      <c r="H13" s="1">
        <f>Switzerland!H$19</f>
        <v>31469</v>
      </c>
      <c r="I13" s="1">
        <f>Switzerland!I$19</f>
        <v>28580</v>
      </c>
      <c r="J13" s="1">
        <f>Switzerland!J$19</f>
        <v>37244</v>
      </c>
      <c r="K13" s="1">
        <f>Switzerland!K$19</f>
        <v>13907</v>
      </c>
      <c r="L13" s="1">
        <f>Switzerland!L$19</f>
        <v>30918</v>
      </c>
      <c r="M13" s="1">
        <f>Switzerland!M$19</f>
        <v>30382</v>
      </c>
      <c r="N13" s="1">
        <f>Switzerland!N$19</f>
        <v>31764</v>
      </c>
      <c r="O13" s="1">
        <f>Switzerland!O$19</f>
        <v>31344</v>
      </c>
      <c r="P13" s="1">
        <f>Switzerland!P$19</f>
        <v>30154</v>
      </c>
      <c r="Q13" s="1">
        <f>Switzerland!Q$19</f>
        <v>35087</v>
      </c>
      <c r="R13" s="1">
        <f>Switzerland!R$19</f>
        <v>32973</v>
      </c>
      <c r="S13" s="1">
        <f>Switzerland!S$19</f>
        <v>34082</v>
      </c>
      <c r="T13" s="1">
        <v>29195</v>
      </c>
      <c r="U13" s="1">
        <v>31751</v>
      </c>
      <c r="V13" s="29">
        <v>31042</v>
      </c>
      <c r="X13" s="3"/>
    </row>
    <row r="14" spans="1:24" x14ac:dyDescent="0.25">
      <c r="A14" s="131" t="s">
        <v>1</v>
      </c>
      <c r="B14" s="27">
        <f t="shared" si="0"/>
        <v>-0.27911687113468941</v>
      </c>
      <c r="C14" s="109">
        <v>-17238.634610000008</v>
      </c>
      <c r="D14" s="1">
        <v>-21678</v>
      </c>
      <c r="E14" s="91">
        <f>Netherlands!E$8</f>
        <v>50005.5</v>
      </c>
      <c r="F14" s="1">
        <f>Netherlands!F$8</f>
        <v>69367</v>
      </c>
      <c r="G14" s="1">
        <f>Netherlands!G$8</f>
        <v>83696</v>
      </c>
      <c r="H14" s="1">
        <f>Netherlands!H$8</f>
        <v>59451</v>
      </c>
      <c r="I14" s="1">
        <f>Netherlands!I$8</f>
        <v>89243</v>
      </c>
      <c r="J14" s="1">
        <f>Netherlands!J$8</f>
        <v>78571</v>
      </c>
      <c r="K14" s="1">
        <f>Netherlands!K$8</f>
        <v>55913</v>
      </c>
      <c r="L14" s="1">
        <f>Netherlands!L$8</f>
        <v>107718</v>
      </c>
      <c r="M14" s="1">
        <f>Netherlands!M$8</f>
        <v>108329</v>
      </c>
      <c r="N14" s="1">
        <f>Netherlands!N$8</f>
        <v>118613</v>
      </c>
      <c r="O14" s="1">
        <f>Netherlands!O$8</f>
        <v>106000</v>
      </c>
      <c r="P14" s="1">
        <f>Netherlands!P$8</f>
        <v>84000</v>
      </c>
      <c r="Q14" s="1">
        <f>Netherlands!Q$8</f>
        <v>132000</v>
      </c>
      <c r="R14" s="1">
        <f>Netherlands!R$8</f>
        <v>85000</v>
      </c>
      <c r="S14" s="1">
        <f>Netherlands!S$8</f>
        <v>125000</v>
      </c>
      <c r="T14" s="1">
        <v>120000</v>
      </c>
      <c r="U14" s="1">
        <v>113000</v>
      </c>
      <c r="V14" s="29">
        <v>105000</v>
      </c>
    </row>
    <row r="15" spans="1:24" ht="13.8" thickBot="1" x14ac:dyDescent="0.3">
      <c r="A15" s="132" t="s">
        <v>166</v>
      </c>
      <c r="B15" s="28">
        <f t="shared" si="0"/>
        <v>-0.55423789315035898</v>
      </c>
      <c r="C15" s="108">
        <v>-17824</v>
      </c>
      <c r="D15" s="10">
        <v>-18433</v>
      </c>
      <c r="E15" s="94">
        <f>UK!E$12</f>
        <v>22478</v>
      </c>
      <c r="F15" s="10">
        <f>UK!F$12</f>
        <v>50426</v>
      </c>
      <c r="G15" s="10">
        <f>UK!G$12</f>
        <v>33189</v>
      </c>
      <c r="H15" s="10">
        <f>UK!H$12</f>
        <v>23175</v>
      </c>
      <c r="I15" s="10">
        <f>UK!I$12</f>
        <v>22953</v>
      </c>
      <c r="J15" s="10">
        <f>UK!J$12</f>
        <v>41193</v>
      </c>
      <c r="K15" s="10">
        <f>UK!K$12</f>
        <v>28086</v>
      </c>
      <c r="L15" s="10">
        <f>UK!L$12</f>
        <v>33420</v>
      </c>
      <c r="M15" s="10">
        <f>UK!M$12</f>
        <v>37050</v>
      </c>
      <c r="N15" s="10">
        <f>UK!N$12</f>
        <v>35400</v>
      </c>
      <c r="O15" s="10">
        <f>UK!O$12</f>
        <v>37500</v>
      </c>
      <c r="P15" s="10">
        <f>UK!P$12</f>
        <v>12400</v>
      </c>
      <c r="Q15" s="10">
        <f>UK!Q$12</f>
        <v>32100</v>
      </c>
      <c r="R15" s="10">
        <f>UK!R$12</f>
        <v>31500</v>
      </c>
      <c r="S15" s="10">
        <f>UK!S$12</f>
        <v>31500</v>
      </c>
      <c r="T15" s="10">
        <v>31000</v>
      </c>
      <c r="U15" s="10">
        <v>22500</v>
      </c>
      <c r="V15" s="31">
        <v>25000</v>
      </c>
    </row>
    <row r="16" spans="1:24" ht="13.8" thickBot="1" x14ac:dyDescent="0.3">
      <c r="A16" s="32" t="s">
        <v>23</v>
      </c>
      <c r="B16" s="33">
        <f t="shared" si="0"/>
        <v>3.2382839232447322E-3</v>
      </c>
      <c r="C16" s="129">
        <v>-674616.17809997592</v>
      </c>
      <c r="D16" s="34">
        <v>-737459.83561499533</v>
      </c>
      <c r="E16" s="85">
        <f t="shared" ref="E16:J16" si="1">SUM(E2:E15)</f>
        <v>1896220.7328609386</v>
      </c>
      <c r="F16" s="34">
        <f t="shared" si="1"/>
        <v>1890100.0522484186</v>
      </c>
      <c r="G16" s="34">
        <f t="shared" si="1"/>
        <v>2172182.7973092971</v>
      </c>
      <c r="H16" s="34">
        <f t="shared" si="1"/>
        <v>1914119.3438462592</v>
      </c>
      <c r="I16" s="34">
        <f t="shared" si="1"/>
        <v>1763643.0681697475</v>
      </c>
      <c r="J16" s="34">
        <f t="shared" si="1"/>
        <v>2297629.44</v>
      </c>
      <c r="K16" s="34">
        <f t="shared" ref="K16:P16" si="2">SUM(K2:K15)</f>
        <v>1173703</v>
      </c>
      <c r="L16" s="34">
        <f t="shared" si="2"/>
        <v>2067522.1818931077</v>
      </c>
      <c r="M16" s="34">
        <f t="shared" si="2"/>
        <v>2164750.7412880901</v>
      </c>
      <c r="N16" s="34">
        <f t="shared" si="2"/>
        <v>2109759.9948823964</v>
      </c>
      <c r="O16" s="34">
        <f t="shared" si="2"/>
        <v>1978916.2619515972</v>
      </c>
      <c r="P16" s="34">
        <f t="shared" si="2"/>
        <v>1461664.1180709116</v>
      </c>
      <c r="Q16" s="34">
        <f t="shared" ref="Q16:V16" si="3">SUM(Q2:Q15)</f>
        <v>1839330.3485178347</v>
      </c>
      <c r="R16" s="34">
        <f t="shared" si="3"/>
        <v>1454747.255145343</v>
      </c>
      <c r="S16" s="34">
        <f t="shared" si="3"/>
        <v>1736189.00927907</v>
      </c>
      <c r="T16" s="34">
        <f t="shared" si="3"/>
        <v>1438122.6228119342</v>
      </c>
      <c r="U16" s="34">
        <f t="shared" si="3"/>
        <v>1119014.1000000001</v>
      </c>
      <c r="V16" s="35">
        <f t="shared" si="3"/>
        <v>1138730</v>
      </c>
    </row>
    <row r="17" spans="1:24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U17" s="1"/>
      <c r="V17" s="1"/>
    </row>
    <row r="18" spans="1:24" ht="13.8" thickBot="1" x14ac:dyDescent="0.3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U18" s="1"/>
      <c r="V18" s="1"/>
    </row>
    <row r="19" spans="1:24" ht="13.8" thickBot="1" x14ac:dyDescent="0.3">
      <c r="A19" s="23" t="s">
        <v>25</v>
      </c>
      <c r="B19" s="24" t="s">
        <v>182</v>
      </c>
      <c r="C19" s="125" t="s">
        <v>183</v>
      </c>
      <c r="D19" s="69" t="s">
        <v>178</v>
      </c>
      <c r="E19" s="127">
        <v>45383</v>
      </c>
      <c r="F19" s="101">
        <v>45017</v>
      </c>
      <c r="G19" s="101">
        <v>44652</v>
      </c>
      <c r="H19" s="101">
        <v>44287</v>
      </c>
      <c r="I19" s="101">
        <v>43922</v>
      </c>
      <c r="J19" s="101">
        <v>43556</v>
      </c>
      <c r="K19" s="101">
        <v>43191</v>
      </c>
      <c r="L19" s="25">
        <v>42826</v>
      </c>
      <c r="M19" s="25">
        <v>42461</v>
      </c>
      <c r="N19" s="25">
        <v>42095</v>
      </c>
      <c r="O19" s="25">
        <v>41730</v>
      </c>
      <c r="P19" s="25">
        <v>41365</v>
      </c>
      <c r="Q19" s="25">
        <v>41000</v>
      </c>
      <c r="R19" s="25">
        <v>40634</v>
      </c>
      <c r="S19" s="25">
        <v>40269</v>
      </c>
      <c r="T19" s="25">
        <v>39904</v>
      </c>
      <c r="U19" s="25">
        <v>39539</v>
      </c>
      <c r="V19" s="26">
        <v>39173</v>
      </c>
    </row>
    <row r="20" spans="1:24" x14ac:dyDescent="0.25">
      <c r="A20" s="20" t="s">
        <v>0</v>
      </c>
      <c r="B20" s="27">
        <f t="shared" ref="B20:B33" si="4">IFERROR(((E20-F20)/F20),"")</f>
        <v>0.18850354226943247</v>
      </c>
      <c r="C20" s="109">
        <v>-54665.196871781664</v>
      </c>
      <c r="D20" s="1">
        <v>-65761.299566701404</v>
      </c>
      <c r="E20" s="91">
        <f>Belgium!E$20</f>
        <v>36623.380618946801</v>
      </c>
      <c r="F20" s="1">
        <f>Belgium!F$20</f>
        <v>30814.7004332986</v>
      </c>
      <c r="G20" s="1">
        <f>Belgium!G$20</f>
        <v>78763.542108121823</v>
      </c>
      <c r="H20" s="1">
        <f>Belgium!H$20</f>
        <v>91428</v>
      </c>
      <c r="I20" s="1">
        <f>Belgium!I$20</f>
        <v>58200</v>
      </c>
      <c r="J20" s="1">
        <f>Belgium!J$20</f>
        <v>71097</v>
      </c>
      <c r="K20" s="1">
        <f>Belgium!K$20</f>
        <v>40294</v>
      </c>
      <c r="L20" s="1">
        <f>Belgium!L$20</f>
        <v>57025</v>
      </c>
      <c r="M20" s="1">
        <f>Belgium!M$20</f>
        <v>86331</v>
      </c>
      <c r="N20" s="1">
        <f>Belgium!N$20</f>
        <v>66712</v>
      </c>
      <c r="O20" s="1">
        <f>Belgium!O$20</f>
        <v>38135</v>
      </c>
      <c r="P20" s="1">
        <f>Belgium!P$20</f>
        <v>29495</v>
      </c>
      <c r="Q20" s="1">
        <f>Belgium!Q$20</f>
        <v>34230</v>
      </c>
      <c r="R20" s="1">
        <f>Belgium!R$20</f>
        <v>50300</v>
      </c>
      <c r="S20" s="1">
        <v>44300</v>
      </c>
      <c r="T20" s="1">
        <v>8500</v>
      </c>
      <c r="U20" s="1">
        <v>62800</v>
      </c>
      <c r="V20" s="29">
        <v>68000</v>
      </c>
    </row>
    <row r="21" spans="1:24" x14ac:dyDescent="0.25">
      <c r="A21" s="20" t="s">
        <v>31</v>
      </c>
      <c r="B21" s="27">
        <f t="shared" si="4"/>
        <v>7.8769230769230774</v>
      </c>
      <c r="C21" s="109">
        <v>-572</v>
      </c>
      <c r="D21" s="1">
        <v>-567</v>
      </c>
      <c r="E21" s="91">
        <f>'Czech Republic'!E$21</f>
        <v>577</v>
      </c>
      <c r="F21" s="1">
        <f>'Czech Republic'!F$21</f>
        <v>65</v>
      </c>
      <c r="G21" s="1">
        <f>'Czech Republic'!G$21</f>
        <v>88</v>
      </c>
      <c r="H21" s="1">
        <f>'Czech Republic'!H$21</f>
        <v>911</v>
      </c>
      <c r="I21" s="1">
        <f>'Czech Republic'!I$21</f>
        <v>722</v>
      </c>
      <c r="J21" s="1">
        <f>'Czech Republic'!J$21</f>
        <v>1133</v>
      </c>
      <c r="K21" s="1">
        <f>'Czech Republic'!K$21</f>
        <v>845</v>
      </c>
      <c r="L21" s="1">
        <f>'Czech Republic'!L$21</f>
        <v>518</v>
      </c>
      <c r="M21" s="1">
        <f>'Czech Republic'!M$21</f>
        <v>706</v>
      </c>
      <c r="N21" s="1">
        <f>'Czech Republic'!N$21</f>
        <v>3</v>
      </c>
      <c r="O21" s="1">
        <f>'Czech Republic'!O$21</f>
        <v>917</v>
      </c>
      <c r="P21" s="1">
        <f>'Czech Republic'!P$21</f>
        <v>0</v>
      </c>
      <c r="Q21" s="1">
        <f>'Czech Republic'!Q$21</f>
        <v>16</v>
      </c>
      <c r="R21" s="1">
        <f>'Czech Republic'!R$21</f>
        <v>18</v>
      </c>
      <c r="S21" s="1">
        <v>0</v>
      </c>
      <c r="T21" s="1">
        <v>0</v>
      </c>
      <c r="U21" s="1">
        <v>0</v>
      </c>
      <c r="V21" s="29">
        <v>0</v>
      </c>
    </row>
    <row r="22" spans="1:24" x14ac:dyDescent="0.25">
      <c r="A22" s="20" t="s">
        <v>40</v>
      </c>
      <c r="B22" s="27" t="str">
        <f t="shared" si="4"/>
        <v/>
      </c>
      <c r="C22" s="109">
        <v>0</v>
      </c>
      <c r="D22" s="1">
        <v>0</v>
      </c>
      <c r="E22" s="91">
        <f>Denmark!E$27</f>
        <v>0</v>
      </c>
      <c r="F22" s="1">
        <f>Denmark!F$27</f>
        <v>0</v>
      </c>
      <c r="G22" s="1">
        <f>Denmark!G$27</f>
        <v>0</v>
      </c>
      <c r="H22" s="1">
        <f>Denmark!H$27</f>
        <v>0</v>
      </c>
      <c r="I22" s="1">
        <f>Denmark!I$27</f>
        <v>19</v>
      </c>
      <c r="J22" s="1">
        <f>Denmark!J$27</f>
        <v>121</v>
      </c>
      <c r="K22" s="1">
        <f>Denmark!K$27</f>
        <v>0</v>
      </c>
      <c r="L22" s="1">
        <f>Denmark!L$27</f>
        <v>0</v>
      </c>
      <c r="M22" s="1">
        <f>Denmark!M$27</f>
        <v>72</v>
      </c>
      <c r="N22" s="1">
        <f>Denmark!N$27</f>
        <v>0</v>
      </c>
      <c r="O22" s="1">
        <f>Denmark!O$27</f>
        <v>0</v>
      </c>
      <c r="P22" s="1">
        <f>Denmark!P$27</f>
        <v>0</v>
      </c>
      <c r="Q22" s="1">
        <f>Denmark!Q$27</f>
        <v>0</v>
      </c>
      <c r="R22" s="1">
        <f>Denmark!R$27</f>
        <v>0</v>
      </c>
      <c r="S22" s="1">
        <v>0</v>
      </c>
      <c r="T22" s="1">
        <v>0</v>
      </c>
      <c r="U22" s="1">
        <v>0</v>
      </c>
      <c r="V22" s="29">
        <v>0</v>
      </c>
      <c r="X22" s="3"/>
    </row>
    <row r="23" spans="1:24" x14ac:dyDescent="0.25">
      <c r="A23" s="20" t="s">
        <v>132</v>
      </c>
      <c r="B23" s="27">
        <f t="shared" si="4"/>
        <v>1.1637583892617449</v>
      </c>
      <c r="C23" s="109">
        <v>-2173</v>
      </c>
      <c r="D23" s="1">
        <v>-1117</v>
      </c>
      <c r="E23" s="91">
        <f>France!E$38</f>
        <v>1612</v>
      </c>
      <c r="F23" s="1">
        <f>France!F$38</f>
        <v>745</v>
      </c>
      <c r="G23" s="1">
        <f>France!G$38</f>
        <v>403</v>
      </c>
      <c r="H23" s="1">
        <f>France!H$38</f>
        <v>1283</v>
      </c>
      <c r="I23" s="1">
        <f>France!I$38</f>
        <v>968</v>
      </c>
      <c r="J23" s="1">
        <f>France!J$38</f>
        <v>1889</v>
      </c>
      <c r="K23" s="1">
        <f>France!K$38</f>
        <v>1499</v>
      </c>
      <c r="L23" s="1">
        <f>France!L$38</f>
        <v>1238</v>
      </c>
      <c r="M23" s="1">
        <f>France!M$38</f>
        <v>820</v>
      </c>
      <c r="N23" s="1">
        <f>France!N$38</f>
        <v>2068</v>
      </c>
      <c r="O23" s="1">
        <f>France!O$38</f>
        <v>2056</v>
      </c>
      <c r="P23" s="1">
        <f>France!P$38</f>
        <v>235</v>
      </c>
      <c r="Q23" s="1">
        <f>France!Q$38</f>
        <v>3695</v>
      </c>
      <c r="R23" s="1">
        <f>France!R$38</f>
        <v>0</v>
      </c>
      <c r="S23" s="1">
        <f>France!S$38</f>
        <v>0</v>
      </c>
      <c r="T23" s="1">
        <f>France!T$38</f>
        <v>0</v>
      </c>
      <c r="U23" s="1">
        <f>France!U$38</f>
        <v>0</v>
      </c>
      <c r="V23" s="29">
        <f>France!V$38</f>
        <v>0</v>
      </c>
      <c r="X23" s="3"/>
    </row>
    <row r="24" spans="1:24" x14ac:dyDescent="0.25">
      <c r="A24" s="20" t="s">
        <v>28</v>
      </c>
      <c r="B24" s="27">
        <f t="shared" si="4"/>
        <v>7.3481012658227849</v>
      </c>
      <c r="C24" s="109">
        <v>-661</v>
      </c>
      <c r="D24" s="1">
        <v>-560</v>
      </c>
      <c r="E24" s="91">
        <f>Germany!E$26</f>
        <v>1319</v>
      </c>
      <c r="F24" s="1">
        <f>Germany!F$26</f>
        <v>158</v>
      </c>
      <c r="G24" s="1">
        <f>Germany!G$26</f>
        <v>583</v>
      </c>
      <c r="H24" s="1">
        <f>Germany!H$26</f>
        <v>612</v>
      </c>
      <c r="I24" s="1">
        <f>Germany!I$26</f>
        <v>394</v>
      </c>
      <c r="J24" s="1">
        <f>Germany!J$26</f>
        <v>821</v>
      </c>
      <c r="K24" s="1">
        <f>Germany!K$26</f>
        <v>393</v>
      </c>
      <c r="L24" s="1">
        <f>Germany!L$26</f>
        <v>53</v>
      </c>
      <c r="M24" s="1">
        <f>Germany!M$26</f>
        <v>119</v>
      </c>
      <c r="N24" s="1">
        <f>Germany!N$26</f>
        <v>585</v>
      </c>
      <c r="O24" s="1">
        <f>Germany!O$26</f>
        <v>360</v>
      </c>
      <c r="P24" s="1">
        <f>Germany!P$26</f>
        <v>66</v>
      </c>
      <c r="Q24" s="1">
        <f>Germany!Q$26</f>
        <v>361</v>
      </c>
      <c r="R24" s="1">
        <f>Germany!R$26</f>
        <v>9</v>
      </c>
      <c r="S24" s="1">
        <v>147</v>
      </c>
      <c r="T24" s="1">
        <v>111</v>
      </c>
      <c r="U24" s="1">
        <v>184</v>
      </c>
      <c r="V24" s="29">
        <v>84</v>
      </c>
      <c r="X24" s="3"/>
    </row>
    <row r="25" spans="1:24" x14ac:dyDescent="0.25">
      <c r="A25" s="20" t="s">
        <v>181</v>
      </c>
      <c r="B25" s="27">
        <f t="shared" si="4"/>
        <v>-1</v>
      </c>
      <c r="C25" s="109">
        <v>-4068.6833781298878</v>
      </c>
      <c r="D25" s="1">
        <v>-13780</v>
      </c>
      <c r="E25" s="91">
        <f>Italy!E$29</f>
        <v>0</v>
      </c>
      <c r="F25" s="1">
        <f>Italy!F$29</f>
        <v>4560</v>
      </c>
      <c r="G25" s="1">
        <f>Italy!G$29</f>
        <v>3379.8771075538284</v>
      </c>
      <c r="H25" s="1">
        <f>Italy!H$29</f>
        <v>43026.743484126084</v>
      </c>
      <c r="I25" s="1">
        <f>Italy!I$29</f>
        <v>0</v>
      </c>
      <c r="J25" s="1">
        <f>Italy!J$29</f>
        <v>49434.241774224749</v>
      </c>
      <c r="K25" s="1">
        <f>Italy!K$29</f>
        <v>55494.568382426565</v>
      </c>
      <c r="L25" s="1">
        <f>Italy!L$29</f>
        <v>34705.11771994747</v>
      </c>
      <c r="M25" s="1">
        <f>Italy!M$29</f>
        <v>60231.757266306835</v>
      </c>
      <c r="N25" s="1">
        <f>Italy!N$29</f>
        <v>38561.654174636344</v>
      </c>
      <c r="O25" s="1">
        <f>Italy!O$29</f>
        <v>70016</v>
      </c>
      <c r="P25" s="1">
        <f>Italy!P$29</f>
        <v>24763.962693378642</v>
      </c>
      <c r="Q25" s="1">
        <f>Italy!Q$29</f>
        <v>87321.617973590008</v>
      </c>
      <c r="R25" s="1">
        <f>Italy!R$29</f>
        <v>28136</v>
      </c>
      <c r="S25" s="1">
        <v>56285</v>
      </c>
      <c r="T25" s="1">
        <v>35144</v>
      </c>
      <c r="U25" s="1">
        <v>36312</v>
      </c>
      <c r="V25" s="29">
        <v>45454</v>
      </c>
      <c r="X25" s="3"/>
    </row>
    <row r="26" spans="1:24" x14ac:dyDescent="0.25">
      <c r="A26" s="39" t="s">
        <v>32</v>
      </c>
      <c r="B26" s="27">
        <f t="shared" si="4"/>
        <v>3</v>
      </c>
      <c r="C26" s="109">
        <v>-6500</v>
      </c>
      <c r="D26" s="1">
        <v>-5000</v>
      </c>
      <c r="E26" s="91">
        <f>Poland!E$25</f>
        <v>4000</v>
      </c>
      <c r="F26" s="1">
        <f>Poland!F$25</f>
        <v>1000</v>
      </c>
      <c r="G26" s="1">
        <f>Poland!G$25</f>
        <v>1000</v>
      </c>
      <c r="H26" s="1">
        <f>Poland!H$25</f>
        <v>1000</v>
      </c>
      <c r="I26" s="1">
        <f>Poland!I$25</f>
        <v>0</v>
      </c>
      <c r="J26" s="1">
        <f>Poland!J$25</f>
        <v>0</v>
      </c>
      <c r="K26" s="1">
        <f>Poland!K$25</f>
        <v>0</v>
      </c>
      <c r="L26" s="37">
        <f>Poland!L$25</f>
        <v>0</v>
      </c>
      <c r="M26" s="37">
        <f>Poland!M$25</f>
        <v>1000</v>
      </c>
      <c r="N26" s="37">
        <f>Poland!N$25</f>
        <v>0</v>
      </c>
      <c r="O26" s="37">
        <f>Poland!O$25</f>
        <v>2000</v>
      </c>
      <c r="P26" s="37">
        <f>Poland!P$25</f>
        <v>0</v>
      </c>
      <c r="Q26" s="37">
        <f>Poland!Q$25</f>
        <v>0</v>
      </c>
      <c r="R26" s="37">
        <f>Poland!R$25</f>
        <v>0</v>
      </c>
      <c r="S26" s="37">
        <v>4000</v>
      </c>
      <c r="T26" s="37">
        <v>1000</v>
      </c>
      <c r="U26" s="37">
        <v>0</v>
      </c>
      <c r="V26" s="59">
        <v>2000</v>
      </c>
      <c r="X26" s="3"/>
    </row>
    <row r="27" spans="1:24" hidden="1" x14ac:dyDescent="0.25">
      <c r="A27" s="39" t="s">
        <v>167</v>
      </c>
      <c r="B27" s="27" t="str">
        <f t="shared" si="4"/>
        <v/>
      </c>
      <c r="C27" s="109">
        <v>-26943</v>
      </c>
      <c r="D27" s="1">
        <v>-21897</v>
      </c>
      <c r="E27" s="91">
        <f>Portugal!E$14</f>
        <v>0</v>
      </c>
      <c r="F27" s="1">
        <f>Portugal!F$14</f>
        <v>0</v>
      </c>
      <c r="G27" s="1">
        <f>Portugal!G$14</f>
        <v>0</v>
      </c>
      <c r="H27" s="1">
        <f>Portugal!H$14</f>
        <v>0</v>
      </c>
      <c r="I27" s="1">
        <f>Portugal!I$14</f>
        <v>0</v>
      </c>
      <c r="J27" s="1">
        <f>Portugal!J$14</f>
        <v>24870</v>
      </c>
      <c r="K27" s="1">
        <f>Portugal!K$14</f>
        <v>0</v>
      </c>
      <c r="L27" s="37">
        <f>Portugal!L$14</f>
        <v>0</v>
      </c>
      <c r="M27" s="37">
        <f>Portugal!M$14</f>
        <v>0</v>
      </c>
      <c r="N27" s="37">
        <f>Portugal!N$14</f>
        <v>0</v>
      </c>
      <c r="O27" s="37">
        <f>Portugal!O$14</f>
        <v>0</v>
      </c>
      <c r="P27" s="37">
        <f>Portugal!P$14</f>
        <v>0</v>
      </c>
      <c r="Q27" s="37">
        <f>Portugal!Q$14</f>
        <v>0</v>
      </c>
      <c r="R27" s="37">
        <f>Portugal!R$14</f>
        <v>7940</v>
      </c>
      <c r="S27" s="37"/>
      <c r="T27" s="37"/>
      <c r="U27" s="37"/>
      <c r="V27" s="59"/>
      <c r="X27" s="3"/>
    </row>
    <row r="28" spans="1:24" hidden="1" x14ac:dyDescent="0.25">
      <c r="A28" s="39" t="s">
        <v>175</v>
      </c>
      <c r="B28" s="27" t="str">
        <f t="shared" si="4"/>
        <v/>
      </c>
      <c r="C28" s="109">
        <v>0</v>
      </c>
      <c r="D28" s="1">
        <v>0</v>
      </c>
      <c r="E28" s="91"/>
      <c r="F28" s="1"/>
      <c r="G28" s="1"/>
      <c r="H28" s="1"/>
      <c r="I28" s="1"/>
      <c r="J28" s="1"/>
      <c r="K28" s="1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59"/>
      <c r="X28" s="3"/>
    </row>
    <row r="29" spans="1:24" x14ac:dyDescent="0.25">
      <c r="A29" s="20" t="s">
        <v>37</v>
      </c>
      <c r="B29" s="27">
        <f t="shared" si="4"/>
        <v>0.46209715370752702</v>
      </c>
      <c r="C29" s="109">
        <v>-8291.0203408611778</v>
      </c>
      <c r="D29" s="1">
        <v>-9857.755184348538</v>
      </c>
      <c r="E29" s="91">
        <f>Spain!E$17</f>
        <v>25581.907107577237</v>
      </c>
      <c r="F29" s="1">
        <f>Spain!F$17</f>
        <v>17496.721775777805</v>
      </c>
      <c r="G29" s="1">
        <f>Spain!G$17</f>
        <v>28430.540454000802</v>
      </c>
      <c r="H29" s="1">
        <f>Spain!H$17</f>
        <v>25404.807543979587</v>
      </c>
      <c r="I29" s="1">
        <f>Spain!I$17</f>
        <v>28465.831906892403</v>
      </c>
      <c r="J29" s="1">
        <f>Spain!J$17</f>
        <v>26398</v>
      </c>
      <c r="K29" s="1">
        <f>Spain!K$17</f>
        <v>33499</v>
      </c>
      <c r="L29" s="1">
        <f>Spain!L$17</f>
        <v>23171.754472467466</v>
      </c>
      <c r="M29" s="1">
        <f>Spain!M$17</f>
        <v>30377.033850910571</v>
      </c>
      <c r="N29" s="1">
        <f>Spain!N$17</f>
        <v>34942.833516708422</v>
      </c>
      <c r="O29" s="1">
        <f>Spain!O$17</f>
        <v>40301.007640853895</v>
      </c>
      <c r="P29" s="1">
        <f>Spain!P$17</f>
        <v>14668.174493191973</v>
      </c>
      <c r="Q29" s="1">
        <f>Spain!Q$17</f>
        <v>58975.560223460518</v>
      </c>
      <c r="R29" s="1">
        <f>Spain!R$17</f>
        <v>50980</v>
      </c>
      <c r="S29" s="1">
        <v>35176.848959344396</v>
      </c>
      <c r="T29" s="1">
        <v>36206.771489076338</v>
      </c>
      <c r="U29" s="1">
        <v>34091</v>
      </c>
      <c r="V29" s="29">
        <v>40882</v>
      </c>
      <c r="X29" s="3"/>
    </row>
    <row r="30" spans="1:24" x14ac:dyDescent="0.25">
      <c r="A30" s="20" t="s">
        <v>60</v>
      </c>
      <c r="B30" s="27">
        <f t="shared" si="4"/>
        <v>3.0317460317460316</v>
      </c>
      <c r="C30" s="109">
        <v>-1052</v>
      </c>
      <c r="D30" s="1">
        <v>-1695</v>
      </c>
      <c r="E30" s="91">
        <f>Switzerland!E$28</f>
        <v>254</v>
      </c>
      <c r="F30" s="1">
        <f>Switzerland!F$28</f>
        <v>63</v>
      </c>
      <c r="G30" s="1">
        <f>Switzerland!G$28</f>
        <v>713</v>
      </c>
      <c r="H30" s="1">
        <f>Switzerland!H$28</f>
        <v>1635</v>
      </c>
      <c r="I30" s="1">
        <f>Switzerland!I$28</f>
        <v>2459</v>
      </c>
      <c r="J30" s="1">
        <f>Switzerland!J$28</f>
        <v>2014</v>
      </c>
      <c r="K30" s="1">
        <f>Switzerland!K$28</f>
        <v>0</v>
      </c>
      <c r="L30" s="1">
        <f>Switzerland!L$28</f>
        <v>427</v>
      </c>
      <c r="M30" s="1">
        <f>Switzerland!M$28</f>
        <v>356</v>
      </c>
      <c r="N30" s="1">
        <f>Switzerland!N$28</f>
        <v>1621</v>
      </c>
      <c r="O30" s="1">
        <f>Switzerland!O$28</f>
        <v>750</v>
      </c>
      <c r="P30" s="1">
        <f>Switzerland!P$28</f>
        <v>28</v>
      </c>
      <c r="Q30" s="1">
        <f>Switzerland!Q$28</f>
        <v>2933</v>
      </c>
      <c r="R30" s="1">
        <f>Switzerland!R$28</f>
        <v>79</v>
      </c>
      <c r="S30" s="1">
        <v>1633</v>
      </c>
      <c r="T30" s="1">
        <v>0</v>
      </c>
      <c r="U30" s="1">
        <v>1756</v>
      </c>
      <c r="V30" s="29">
        <v>33</v>
      </c>
      <c r="X30" s="3"/>
    </row>
    <row r="31" spans="1:24" x14ac:dyDescent="0.25">
      <c r="A31" s="20" t="s">
        <v>1</v>
      </c>
      <c r="B31" s="27">
        <f t="shared" si="4"/>
        <v>0.1167376099120704</v>
      </c>
      <c r="C31" s="109">
        <v>-28962.652431546216</v>
      </c>
      <c r="D31" s="1">
        <v>-34595</v>
      </c>
      <c r="E31" s="91">
        <f>Netherlands!E$15</f>
        <v>111763.1</v>
      </c>
      <c r="F31" s="1">
        <f>Netherlands!F$15</f>
        <v>100080</v>
      </c>
      <c r="G31" s="1">
        <f>Netherlands!G$15</f>
        <v>91427</v>
      </c>
      <c r="H31" s="1">
        <f>Netherlands!H$15</f>
        <v>106333</v>
      </c>
      <c r="I31" s="1">
        <f>Netherlands!I$15</f>
        <v>91301</v>
      </c>
      <c r="J31" s="1">
        <f>Netherlands!J$15</f>
        <v>107627</v>
      </c>
      <c r="K31" s="1">
        <f>Netherlands!K$15</f>
        <v>92431</v>
      </c>
      <c r="L31" s="1">
        <f>Netherlands!L$15</f>
        <v>99869</v>
      </c>
      <c r="M31" s="1">
        <f>Netherlands!M$15</f>
        <v>101369</v>
      </c>
      <c r="N31" s="1">
        <f>Netherlands!N$15</f>
        <v>92263</v>
      </c>
      <c r="O31" s="1">
        <f>Netherlands!O$15</f>
        <v>84200</v>
      </c>
      <c r="P31" s="1">
        <f>Netherlands!P$15</f>
        <v>42000</v>
      </c>
      <c r="Q31" s="1">
        <f>Netherlands!Q$15</f>
        <v>75000</v>
      </c>
      <c r="R31" s="1">
        <f>Netherlands!R$15</f>
        <v>59000</v>
      </c>
      <c r="S31" s="1">
        <v>64000</v>
      </c>
      <c r="T31" s="1">
        <v>22000</v>
      </c>
      <c r="U31" s="1">
        <v>41000</v>
      </c>
      <c r="V31" s="29">
        <v>47000</v>
      </c>
    </row>
    <row r="32" spans="1:24" ht="13.8" thickBot="1" x14ac:dyDescent="0.3">
      <c r="A32" s="30" t="s">
        <v>166</v>
      </c>
      <c r="B32" s="28">
        <f t="shared" si="4"/>
        <v>-0.53990384615384612</v>
      </c>
      <c r="C32" s="108">
        <v>-1700</v>
      </c>
      <c r="D32" s="10">
        <v>-940</v>
      </c>
      <c r="E32" s="94">
        <f>UK!E$19</f>
        <v>957</v>
      </c>
      <c r="F32" s="10">
        <f>UK!F$19</f>
        <v>2080</v>
      </c>
      <c r="G32" s="10">
        <f>UK!G$19</f>
        <v>1393</v>
      </c>
      <c r="H32" s="10">
        <f>UK!H$19</f>
        <v>1823</v>
      </c>
      <c r="I32" s="10">
        <f>UK!I$19</f>
        <v>143</v>
      </c>
      <c r="J32" s="10">
        <f>UK!J$19</f>
        <v>751</v>
      </c>
      <c r="K32" s="10">
        <f>UK!K$19</f>
        <v>898</v>
      </c>
      <c r="L32" s="10">
        <f>UK!L$19</f>
        <v>2150</v>
      </c>
      <c r="M32" s="10">
        <f>UK!M$19</f>
        <v>1850</v>
      </c>
      <c r="N32" s="10">
        <f>UK!N$19</f>
        <v>1500</v>
      </c>
      <c r="O32" s="10">
        <f>UK!O$19</f>
        <v>2800</v>
      </c>
      <c r="P32" s="10">
        <f>UK!P$19</f>
        <v>2500</v>
      </c>
      <c r="Q32" s="10">
        <f>UK!Q$19</f>
        <v>2500</v>
      </c>
      <c r="R32" s="10">
        <f>UK!R$19</f>
        <v>2500</v>
      </c>
      <c r="S32" s="10">
        <v>2900</v>
      </c>
      <c r="T32" s="10">
        <v>1000</v>
      </c>
      <c r="U32" s="10">
        <v>800</v>
      </c>
      <c r="V32" s="31">
        <v>1000</v>
      </c>
      <c r="X32" s="3"/>
    </row>
    <row r="33" spans="1:23" ht="13.8" thickBot="1" x14ac:dyDescent="0.3">
      <c r="A33" s="32" t="s">
        <v>23</v>
      </c>
      <c r="B33" s="33">
        <f t="shared" si="4"/>
        <v>0.16315147287959494</v>
      </c>
      <c r="C33" s="115">
        <v>-135588.55302231899</v>
      </c>
      <c r="D33" s="34">
        <v>-155770.0547510499</v>
      </c>
      <c r="E33" s="85">
        <f t="shared" ref="E33:J33" si="5">SUM(E20:E32)</f>
        <v>182687.38772652403</v>
      </c>
      <c r="F33" s="34">
        <f t="shared" si="5"/>
        <v>157062.42220907641</v>
      </c>
      <c r="G33" s="34">
        <f t="shared" si="5"/>
        <v>206180.95966967643</v>
      </c>
      <c r="H33" s="34">
        <f t="shared" si="5"/>
        <v>273456.55102810566</v>
      </c>
      <c r="I33" s="34">
        <f t="shared" si="5"/>
        <v>182671.83190689242</v>
      </c>
      <c r="J33" s="34">
        <f t="shared" si="5"/>
        <v>286155.24177422473</v>
      </c>
      <c r="K33" s="34">
        <f t="shared" ref="K33:P33" si="6">SUM(K20:K32)</f>
        <v>225353.56838242657</v>
      </c>
      <c r="L33" s="34">
        <f t="shared" si="6"/>
        <v>219156.87219241494</v>
      </c>
      <c r="M33" s="34">
        <f t="shared" si="6"/>
        <v>283231.79111721739</v>
      </c>
      <c r="N33" s="34">
        <f t="shared" si="6"/>
        <v>238256.48769134478</v>
      </c>
      <c r="O33" s="34">
        <f t="shared" si="6"/>
        <v>241535.0076408539</v>
      </c>
      <c r="P33" s="34">
        <f t="shared" si="6"/>
        <v>113756.13718657062</v>
      </c>
      <c r="Q33" s="34">
        <f t="shared" ref="Q33:V33" si="7">SUM(Q20:Q32)</f>
        <v>265032.17819705053</v>
      </c>
      <c r="R33" s="34">
        <f t="shared" si="7"/>
        <v>198962</v>
      </c>
      <c r="S33" s="34">
        <f t="shared" si="7"/>
        <v>208441.84895934438</v>
      </c>
      <c r="T33" s="34">
        <f t="shared" si="7"/>
        <v>103961.77148907635</v>
      </c>
      <c r="U33" s="34">
        <f t="shared" si="7"/>
        <v>176943</v>
      </c>
      <c r="V33" s="35">
        <f t="shared" si="7"/>
        <v>204453</v>
      </c>
    </row>
    <row r="34" spans="1:23" x14ac:dyDescent="0.25">
      <c r="A34" s="3" t="s">
        <v>179</v>
      </c>
    </row>
    <row r="35" spans="1:23" x14ac:dyDescent="0.25">
      <c r="A35" s="46" t="s">
        <v>164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3" x14ac:dyDescent="0.25">
      <c r="A36" s="46" t="s">
        <v>180</v>
      </c>
      <c r="U36" s="1"/>
      <c r="V36" s="1"/>
    </row>
    <row r="37" spans="1:23" hidden="1" x14ac:dyDescent="0.25">
      <c r="E37" s="1">
        <v>0</v>
      </c>
      <c r="F37" s="1">
        <v>0</v>
      </c>
      <c r="U37" s="1"/>
      <c r="V37" s="1"/>
    </row>
    <row r="38" spans="1:23" hidden="1" x14ac:dyDescent="0.25">
      <c r="A38" s="66"/>
      <c r="E38" s="1">
        <v>0</v>
      </c>
      <c r="F38" s="1">
        <v>0</v>
      </c>
    </row>
    <row r="39" spans="1:23" ht="25.5" hidden="1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3"/>
      <c r="V39" s="13"/>
    </row>
    <row r="40" spans="1:23" hidden="1" x14ac:dyDescent="0.25">
      <c r="C40" s="1">
        <f>C16+C33-'Europe - variety'!C32-'Europe - variety'!C44</f>
        <v>0</v>
      </c>
      <c r="D40" s="1">
        <f>D16+D33-'Europe - variety'!D32-'Europe - variety'!D44</f>
        <v>4.3655745685100555E-10</v>
      </c>
      <c r="E40" s="1">
        <f>E16+E33-'Europe - variety'!E32-'Europe - variety'!E44</f>
        <v>0</v>
      </c>
      <c r="F40" s="1">
        <f>F16+F33-'Europe - variety'!F32-'Europe - variety'!F44</f>
        <v>0</v>
      </c>
      <c r="U40" s="1"/>
      <c r="V40" s="1"/>
    </row>
    <row r="41" spans="1:23" ht="25.5" hidden="1" customHeight="1" x14ac:dyDescent="0.25">
      <c r="A41" s="16"/>
      <c r="B41" s="16"/>
      <c r="C41" s="17">
        <f>SUM(C2:C15)-C16</f>
        <v>0</v>
      </c>
      <c r="D41" s="17">
        <f>SUM(D2:D15)-D16</f>
        <v>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7"/>
      <c r="V41" s="17"/>
      <c r="W41" s="9"/>
    </row>
    <row r="42" spans="1:23" hidden="1" x14ac:dyDescent="0.25">
      <c r="C42" s="1">
        <f>SUM(C20:C32)-C33</f>
        <v>0</v>
      </c>
      <c r="D42" s="1">
        <f>SUM(D20:D32)-D33</f>
        <v>0</v>
      </c>
      <c r="U42" s="14"/>
      <c r="V42" s="14"/>
      <c r="W42" s="1"/>
    </row>
    <row r="43" spans="1:23" x14ac:dyDescent="0.25">
      <c r="U43" s="14"/>
      <c r="V43" s="14"/>
      <c r="W43" s="1"/>
    </row>
    <row r="44" spans="1:23" x14ac:dyDescent="0.25">
      <c r="U44" s="14"/>
      <c r="V44" s="14"/>
      <c r="W44" s="1"/>
    </row>
    <row r="45" spans="1:23" x14ac:dyDescent="0.25">
      <c r="U45" s="14"/>
      <c r="V45" s="14"/>
      <c r="W45" s="1"/>
    </row>
    <row r="46" spans="1:23" x14ac:dyDescent="0.25">
      <c r="U46" s="14"/>
      <c r="V46" s="14"/>
      <c r="W46" s="1"/>
    </row>
    <row r="47" spans="1:23" x14ac:dyDescent="0.25">
      <c r="U47" s="14"/>
      <c r="V47" s="14"/>
      <c r="W47" s="1"/>
    </row>
    <row r="48" spans="1:23" x14ac:dyDescent="0.25">
      <c r="U48" s="14"/>
      <c r="V48" s="14"/>
      <c r="W48" s="1"/>
    </row>
    <row r="49" spans="1:23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4"/>
      <c r="V49" s="14"/>
      <c r="W49" s="1"/>
    </row>
    <row r="50" spans="1:23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4"/>
      <c r="V50" s="14"/>
      <c r="W50" s="1"/>
    </row>
    <row r="51" spans="1:23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4"/>
      <c r="V51" s="14"/>
      <c r="W51" s="1"/>
    </row>
    <row r="52" spans="1:23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4"/>
      <c r="V52" s="14"/>
      <c r="W52" s="1"/>
    </row>
    <row r="53" spans="1:23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4"/>
      <c r="V53" s="14"/>
      <c r="W53" s="1"/>
    </row>
    <row r="54" spans="1:23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4"/>
      <c r="V54" s="14"/>
      <c r="W54" s="1"/>
    </row>
    <row r="55" spans="1:23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4"/>
      <c r="V55" s="14"/>
      <c r="W55" s="1"/>
    </row>
    <row r="56" spans="1:23" x14ac:dyDescent="0.25">
      <c r="U56" s="14"/>
      <c r="V56" s="14"/>
      <c r="W56" s="1"/>
    </row>
    <row r="57" spans="1:23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4"/>
      <c r="V57" s="14"/>
      <c r="W57" s="2"/>
    </row>
    <row r="58" spans="1:23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4"/>
      <c r="V58" s="14"/>
    </row>
    <row r="59" spans="1:23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4"/>
      <c r="V59" s="14"/>
      <c r="W59" s="1"/>
    </row>
    <row r="60" spans="1:23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4"/>
      <c r="V60" s="14"/>
      <c r="W60" s="1"/>
    </row>
    <row r="61" spans="1:23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4"/>
      <c r="V61" s="14"/>
      <c r="W61" s="1"/>
    </row>
    <row r="62" spans="1:23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4"/>
      <c r="V62" s="14"/>
      <c r="W62" s="1"/>
    </row>
    <row r="63" spans="1:23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4"/>
      <c r="V63" s="14"/>
      <c r="W63" s="1"/>
    </row>
    <row r="64" spans="1:23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4"/>
      <c r="V64" s="14"/>
      <c r="W64" s="2"/>
    </row>
    <row r="65" spans="1:22" ht="26.2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5"/>
      <c r="V65" s="15"/>
    </row>
    <row r="66" spans="1:22" x14ac:dyDescent="0.25">
      <c r="U66" s="1"/>
      <c r="V66" s="1"/>
    </row>
    <row r="67" spans="1:22" x14ac:dyDescent="0.25">
      <c r="U67" s="1"/>
      <c r="V67" s="1"/>
    </row>
    <row r="68" spans="1:22" x14ac:dyDescent="0.25">
      <c r="U68" s="1"/>
      <c r="V68" s="1"/>
    </row>
    <row r="69" spans="1:22" x14ac:dyDescent="0.25">
      <c r="U69" s="11"/>
      <c r="V69" s="11"/>
    </row>
    <row r="70" spans="1:22" x14ac:dyDescent="0.25">
      <c r="U70" s="11"/>
      <c r="V70" s="11"/>
    </row>
    <row r="71" spans="1:22" x14ac:dyDescent="0.25">
      <c r="U71" s="1"/>
      <c r="V71" s="11"/>
    </row>
    <row r="72" spans="1:22" x14ac:dyDescent="0.25">
      <c r="U72" s="1"/>
      <c r="V72" s="1"/>
    </row>
    <row r="73" spans="1:22" x14ac:dyDescent="0.25">
      <c r="U73" s="1"/>
      <c r="V73" s="1"/>
    </row>
    <row r="74" spans="1:22" x14ac:dyDescent="0.25">
      <c r="U74" s="1"/>
      <c r="V74" s="1"/>
    </row>
    <row r="75" spans="1:22" x14ac:dyDescent="0.25">
      <c r="U75" s="1"/>
      <c r="V75" s="1"/>
    </row>
    <row r="76" spans="1:2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2"/>
      <c r="V76" s="2"/>
    </row>
    <row r="81" spans="1:20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</sheetData>
  <phoneticPr fontId="2" type="noConversion"/>
  <conditionalFormatting sqref="E37:E38">
    <cfRule type="expression" dxfId="2" priority="3">
      <formula>NOT(ISBLANK(A37))</formula>
    </cfRule>
  </conditionalFormatting>
  <conditionalFormatting sqref="E37:F38">
    <cfRule type="cellIs" dxfId="1" priority="1" operator="notEqual">
      <formula>0</formula>
    </cfRule>
    <cfRule type="cellIs" dxfId="0" priority="2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B47"/>
  <sheetViews>
    <sheetView zoomScaleNormal="65" workbookViewId="0"/>
  </sheetViews>
  <sheetFormatPr defaultColWidth="8.77734375" defaultRowHeight="13.2" x14ac:dyDescent="0.25"/>
  <cols>
    <col min="1" max="1" width="24.77734375" customWidth="1"/>
    <col min="2" max="2" width="10.77734375" customWidth="1"/>
    <col min="3" max="4" width="11.6640625" bestFit="1" customWidth="1"/>
    <col min="5" max="10" width="11.6640625" customWidth="1"/>
    <col min="11" max="11" width="11.33203125" customWidth="1"/>
    <col min="12" max="20" width="10.77734375" customWidth="1"/>
  </cols>
  <sheetData>
    <row r="1" spans="1:21" ht="13.8" thickBot="1" x14ac:dyDescent="0.3">
      <c r="A1" s="38" t="s">
        <v>91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5">
        <v>40269</v>
      </c>
      <c r="T1" s="26">
        <v>39904</v>
      </c>
    </row>
    <row r="2" spans="1:21" x14ac:dyDescent="0.25">
      <c r="A2" s="39" t="s">
        <v>20</v>
      </c>
      <c r="B2" s="44" t="str">
        <f t="shared" ref="B2:B32" si="0">IFERROR(((E2-F2)/F2),"")</f>
        <v/>
      </c>
      <c r="C2" s="110">
        <v>0</v>
      </c>
      <c r="D2" s="37">
        <v>0</v>
      </c>
      <c r="E2" s="123">
        <f>Italy!E$2</f>
        <v>0</v>
      </c>
      <c r="F2" s="37">
        <f>Italy!F$2</f>
        <v>0</v>
      </c>
      <c r="G2" s="37">
        <f>Italy!G$2</f>
        <v>0</v>
      </c>
      <c r="H2" s="37">
        <f>Italy!H$2</f>
        <v>0</v>
      </c>
      <c r="I2" s="37">
        <f>Italy!I$2</f>
        <v>0</v>
      </c>
      <c r="J2" s="37">
        <f>Italy!J$2</f>
        <v>0</v>
      </c>
      <c r="K2" s="37">
        <f>Italy!K$2</f>
        <v>0</v>
      </c>
      <c r="L2" s="37">
        <f>Italy!L$2</f>
        <v>0</v>
      </c>
      <c r="M2" s="37">
        <f>Italy!M$2</f>
        <v>0</v>
      </c>
      <c r="N2" s="37">
        <f>Italy!N$2</f>
        <v>0</v>
      </c>
      <c r="O2" s="37">
        <f>Italy!O$2</f>
        <v>0</v>
      </c>
      <c r="P2" s="37">
        <f>Italy!P$2</f>
        <v>0</v>
      </c>
      <c r="Q2" s="37">
        <f>Italy!Q$2</f>
        <v>761.6917738204121</v>
      </c>
      <c r="R2" s="37">
        <f>Italy!R$2</f>
        <v>0</v>
      </c>
      <c r="S2" s="37">
        <f>Italy!S$2</f>
        <v>0</v>
      </c>
      <c r="T2" s="59">
        <f>Italy!T$2</f>
        <v>0</v>
      </c>
      <c r="U2" s="37"/>
    </row>
    <row r="3" spans="1:21" x14ac:dyDescent="0.25">
      <c r="A3" s="39" t="s">
        <v>4</v>
      </c>
      <c r="B3" s="44">
        <f t="shared" si="0"/>
        <v>-0.40553612154284752</v>
      </c>
      <c r="C3" s="110">
        <v>-2215.6515931626723</v>
      </c>
      <c r="D3" s="37">
        <v>-4288.8697834734903</v>
      </c>
      <c r="E3" s="123">
        <f>Austria!E$3+Belgium!E$2+Denmark!E$2+France!E$4+Germany!E$2+Switzerland!E$2+Netherlands!E$2+Poland!E$2</f>
        <v>2600.8568772714302</v>
      </c>
      <c r="F3" s="37">
        <f>Austria!F$3+Belgium!F$2+Denmark!F$2+France!F$4+Germany!F$2+Switzerland!F$2+Netherlands!F$2+Poland!F$2</f>
        <v>4375.1302165265097</v>
      </c>
      <c r="G3" s="37">
        <f>Austria!G$3+Belgium!G$2+Denmark!G$2+France!G$4+Germany!G$2+Switzerland!G$2+Netherlands!G$2+Poland!G$2</f>
        <v>8034.3458326597029</v>
      </c>
      <c r="H3" s="37">
        <f>Austria!H$3+Belgium!H$2+Denmark!H$2+France!H$4+Germany!H$2+Switzerland!H$2+Netherlands!H$2+Poland!H$2</f>
        <v>1477</v>
      </c>
      <c r="I3" s="37">
        <f>Austria!I$3+Belgium!I$2+Denmark!I$2+France!I$4+Germany!I$2+Switzerland!I$2+Netherlands!I$2+Poland!I$2</f>
        <v>1701</v>
      </c>
      <c r="J3" s="37">
        <f>Austria!J$3+Belgium!J$2+Denmark!J$2+France!J$4+Germany!J$2+Switzerland!J$2+Netherlands!J$2+Poland!J$2</f>
        <v>6209</v>
      </c>
      <c r="K3" s="37">
        <f>Austria!K$3+Belgium!K$2+Denmark!K$2+France!K$4+Germany!K$2+Switzerland!K$2+Netherlands!K$2+Poland!K$2</f>
        <v>169</v>
      </c>
      <c r="L3" s="37">
        <f>Austria!L$3+Belgium!L$2+Denmark!L$2+France!L$4+Germany!L$2+Switzerland!L$2+Netherlands!L$2+Poland!L$2</f>
        <v>5188</v>
      </c>
      <c r="M3" s="37">
        <f>Austria!M$3+Belgium!M$2+Denmark!M$2+France!M$4+Germany!M$2+Switzerland!M$2+Netherlands!M$2+Poland!M$2</f>
        <v>4075</v>
      </c>
      <c r="N3" s="37">
        <f>Austria!N$3+Belgium!N$2+Denmark!N$2+France!N$4+Germany!N$2+Switzerland!N$2+Netherlands!N$2+Poland!N$2</f>
        <v>6819</v>
      </c>
      <c r="O3" s="37">
        <f>Austria!O$3+Belgium!O$2+Denmark!O$2+France!O$4+Germany!O$2+Switzerland!O$2+Netherlands!O$2+Poland!O$2</f>
        <v>2055</v>
      </c>
      <c r="P3" s="37">
        <f>Austria!P$3+Belgium!P$2+Denmark!P$2+France!P$4+Germany!P$2+Switzerland!P$2+Netherlands!P$2+Poland!P$2</f>
        <v>19</v>
      </c>
      <c r="Q3" s="37">
        <f>Austria!Q$3+Belgium!Q$2+Denmark!Q$2+France!Q$4+Germany!Q$2+Switzerland!Q$2+Netherlands!Q$2+Poland!Q$2</f>
        <v>2886</v>
      </c>
      <c r="R3" s="37">
        <f>Austria!R$3+Belgium!R$2+Denmark!R$2+France!R$4+Germany!R$2+Switzerland!R$2+Netherlands!R$2+Poland!R$2</f>
        <v>1804</v>
      </c>
      <c r="S3" s="37">
        <f>Austria!S$3+Belgium!S$2+Denmark!S$2+France!S$4+Germany!S$2+Switzerland!S$2+Netherlands!S$2+Poland!S$2</f>
        <v>2619</v>
      </c>
      <c r="T3" s="59">
        <f>Austria!T$3+Belgium!T$2+Denmark!T$2+France!T$4+Germany!T$2+Switzerland!T$2+Netherlands!T$2+Poland!T$2</f>
        <v>7428</v>
      </c>
      <c r="U3" s="3"/>
    </row>
    <row r="4" spans="1:21" x14ac:dyDescent="0.25">
      <c r="A4" s="39" t="s">
        <v>11</v>
      </c>
      <c r="B4" s="44">
        <f t="shared" si="0"/>
        <v>-0.10345899084023463</v>
      </c>
      <c r="C4" s="110">
        <v>-22446.758780915705</v>
      </c>
      <c r="D4" s="37">
        <v>-28883.999543859652</v>
      </c>
      <c r="E4" s="123">
        <f>Austria!E$4+France!E$5+Germany!E$3+Italy!E$3+Switzerland!E$3+UK!E$2+'Czech Republic'!E$2</f>
        <v>47283.290113821138</v>
      </c>
      <c r="F4" s="37">
        <f>Austria!F$4+France!F$5+Germany!F$3+Italy!F$3+Switzerland!F$3+UK!F$2+'Czech Republic'!F$2</f>
        <v>52739.684666666668</v>
      </c>
      <c r="G4" s="37">
        <f>Austria!G$4+France!G$5+Germany!G$3+Italy!G$3+Switzerland!G$3+UK!G$2+'Czech Republic'!G$2</f>
        <v>68452.808000000005</v>
      </c>
      <c r="H4" s="37">
        <f>Austria!H$4+France!H$5+Germany!H$3+Italy!H$3+Switzerland!H$3+UK!H$2+'Czech Republic'!H$2</f>
        <v>52991.65</v>
      </c>
      <c r="I4" s="37">
        <f>Austria!I$4+France!I$5+Germany!I$3+Italy!I$3+Switzerland!I$3+UK!I$2+'Czech Republic'!I$2</f>
        <v>63241.380000000005</v>
      </c>
      <c r="J4" s="37">
        <f>Austria!J$4+France!J$5+Germany!J$3+Italy!J$3+Switzerland!J$3+UK!J$2+'Czech Republic'!J$2</f>
        <v>83418.58</v>
      </c>
      <c r="K4" s="37">
        <f>Austria!K$4+France!K$5+Germany!K$3+Italy!K$3+Switzerland!K$3+UK!K$2+'Czech Republic'!K$2</f>
        <v>30694</v>
      </c>
      <c r="L4" s="37">
        <f>Austria!L$4+France!L$5+Germany!L$3+Italy!L$3+Switzerland!L$3+UK!L$2+'Czech Republic'!L$2</f>
        <v>58655.119999999995</v>
      </c>
      <c r="M4" s="37">
        <f>Austria!M$4+France!M$5+Germany!M$3+Italy!M$3+Switzerland!M$3+UK!M$2+'Czech Republic'!M$2</f>
        <v>63188.14</v>
      </c>
      <c r="N4" s="37">
        <f>Austria!N$4+France!N$5+Germany!N$3+Italy!N$3+Switzerland!N$3+UK!N$2+'Czech Republic'!N$2</f>
        <v>53841.78</v>
      </c>
      <c r="O4" s="37">
        <f>Austria!O$4+France!O$5+Germany!O$3+Italy!O$3+Switzerland!O$3+UK!O$2+'Czech Republic'!O$2</f>
        <v>71638.02</v>
      </c>
      <c r="P4" s="37">
        <f>Austria!P$4+France!P$5+Germany!P$3+Italy!P$3+Switzerland!P$3+UK!P$2+'Czech Republic'!P$2</f>
        <v>38633</v>
      </c>
      <c r="Q4" s="37">
        <f>Austria!Q$4+France!Q$5+Germany!Q$3+Italy!Q$3+Switzerland!Q$3+UK!Q$2+'Czech Republic'!Q$2</f>
        <v>70758.079968526392</v>
      </c>
      <c r="R4" s="37">
        <f>Austria!R$4+France!R$5+Germany!R$3+Italy!R$3+Switzerland!R$3+UK!R$2+'Czech Republic'!R$2</f>
        <v>59131.915490338557</v>
      </c>
      <c r="S4" s="37">
        <f>Austria!S$4+France!S$5+Germany!S$3+Italy!S$3+Switzerland!S$3+UK!S$2+'Czech Republic'!S$2</f>
        <v>76119.03</v>
      </c>
      <c r="T4" s="59">
        <f>Austria!T$4+France!T$5+Germany!T$3+Italy!T$3+Switzerland!T$3+UK!T$2+'Czech Republic'!T$2</f>
        <v>38049.770000000004</v>
      </c>
    </row>
    <row r="5" spans="1:21" x14ac:dyDescent="0.25">
      <c r="A5" s="39" t="s">
        <v>36</v>
      </c>
      <c r="B5" s="44">
        <f t="shared" si="0"/>
        <v>-0.69919497349302961</v>
      </c>
      <c r="C5" s="110">
        <v>-592</v>
      </c>
      <c r="D5" s="37">
        <v>-782</v>
      </c>
      <c r="E5" s="123">
        <f>UK!E$3</f>
        <v>1532</v>
      </c>
      <c r="F5" s="37">
        <f>UK!F$3</f>
        <v>5093</v>
      </c>
      <c r="G5" s="37">
        <f>UK!G$3</f>
        <v>1922</v>
      </c>
      <c r="H5" s="37">
        <f>UK!H$3</f>
        <v>4489</v>
      </c>
      <c r="I5" s="37">
        <f>UK!I$3</f>
        <v>2005</v>
      </c>
      <c r="J5" s="37">
        <f>UK!J$3</f>
        <v>19800</v>
      </c>
      <c r="K5" s="37">
        <f>UK!K$3</f>
        <v>18000</v>
      </c>
      <c r="L5" s="37">
        <f>UK!L$3</f>
        <v>19850</v>
      </c>
      <c r="M5" s="37">
        <f>UK!M$3</f>
        <v>16000</v>
      </c>
      <c r="N5" s="37">
        <f>UK!N$3</f>
        <v>29000</v>
      </c>
      <c r="O5" s="37">
        <f>UK!O$3</f>
        <v>26000</v>
      </c>
      <c r="P5" s="37">
        <f>UK!P$3</f>
        <v>10000</v>
      </c>
      <c r="Q5" s="37">
        <f>UK!Q$3</f>
        <v>25000</v>
      </c>
      <c r="R5" s="37">
        <f>UK!R$3</f>
        <v>26000</v>
      </c>
      <c r="S5" s="37">
        <f>UK!S$3</f>
        <v>26000</v>
      </c>
      <c r="T5" s="59">
        <f>UK!T$3</f>
        <v>28000</v>
      </c>
    </row>
    <row r="6" spans="1:21" x14ac:dyDescent="0.25">
      <c r="A6" s="39" t="s">
        <v>29</v>
      </c>
      <c r="B6" s="44">
        <f t="shared" si="0"/>
        <v>-0.88114609126282273</v>
      </c>
      <c r="C6" s="110">
        <v>-567</v>
      </c>
      <c r="D6" s="37">
        <v>-490</v>
      </c>
      <c r="E6" s="123">
        <f>France!E6+UK!E4</f>
        <v>336</v>
      </c>
      <c r="F6" s="37">
        <f>France!F6+UK!F4</f>
        <v>2827</v>
      </c>
      <c r="G6" s="37">
        <f>France!G6+UK!G4</f>
        <v>1070</v>
      </c>
      <c r="H6" s="37">
        <f>France!H6+UK!H4</f>
        <v>2109</v>
      </c>
      <c r="I6" s="37">
        <f>France!I6+UK!I4</f>
        <v>647</v>
      </c>
      <c r="J6" s="37">
        <f>France!J6+UK!J4</f>
        <v>1314</v>
      </c>
      <c r="K6" s="37">
        <f>France!K6+UK!K4</f>
        <v>256</v>
      </c>
      <c r="L6" s="37">
        <f>France!L6+UK!L4</f>
        <v>0</v>
      </c>
      <c r="M6" s="37">
        <f>France!M6+UK!M4</f>
        <v>1100</v>
      </c>
      <c r="N6" s="37">
        <f>France!N6+UK!N4</f>
        <v>300</v>
      </c>
      <c r="O6" s="37">
        <f>France!O6+UK!O4</f>
        <v>300</v>
      </c>
      <c r="P6" s="37">
        <f>France!P6+UK!P4</f>
        <v>0</v>
      </c>
      <c r="Q6" s="37">
        <f>France!Q6+UK!Q4</f>
        <v>851</v>
      </c>
      <c r="R6" s="37">
        <f>France!R6+UK!R4</f>
        <v>880</v>
      </c>
      <c r="S6" s="37">
        <f>France!S6+UK!S4</f>
        <v>1390</v>
      </c>
      <c r="T6" s="59">
        <f>France!T6+UK!T4</f>
        <v>0</v>
      </c>
    </row>
    <row r="7" spans="1:21" x14ac:dyDescent="0.25">
      <c r="A7" s="39" t="s">
        <v>33</v>
      </c>
      <c r="B7" s="44" t="str">
        <f t="shared" si="0"/>
        <v/>
      </c>
      <c r="C7" s="110">
        <v>0</v>
      </c>
      <c r="D7" s="37">
        <v>0</v>
      </c>
      <c r="E7" s="123">
        <f>Poland!E$3</f>
        <v>0</v>
      </c>
      <c r="F7" s="37">
        <f>Poland!F$3</f>
        <v>0</v>
      </c>
      <c r="G7" s="37">
        <f>Poland!G$3</f>
        <v>0</v>
      </c>
      <c r="H7" s="37">
        <f>Poland!H$3</f>
        <v>0</v>
      </c>
      <c r="I7" s="37">
        <f>Poland!I$3</f>
        <v>0</v>
      </c>
      <c r="J7" s="37">
        <f>Poland!J$3</f>
        <v>0</v>
      </c>
      <c r="K7" s="37">
        <f>Poland!K$3</f>
        <v>0</v>
      </c>
      <c r="L7" s="37">
        <f>Poland!L$3</f>
        <v>0</v>
      </c>
      <c r="M7" s="37">
        <f>Poland!M$3</f>
        <v>0</v>
      </c>
      <c r="N7" s="37">
        <f>Poland!N$3</f>
        <v>0</v>
      </c>
      <c r="O7" s="37">
        <f>Poland!O$3</f>
        <v>0</v>
      </c>
      <c r="P7" s="37">
        <f>Poland!P$3</f>
        <v>0</v>
      </c>
      <c r="Q7" s="37">
        <f>Poland!Q$3</f>
        <v>0</v>
      </c>
      <c r="R7" s="37">
        <f>Poland!R$3</f>
        <v>0</v>
      </c>
      <c r="S7" s="37">
        <f>Poland!S$3</f>
        <v>8000</v>
      </c>
      <c r="T7" s="59">
        <f>Poland!T$3</f>
        <v>1000</v>
      </c>
    </row>
    <row r="8" spans="1:21" x14ac:dyDescent="0.25">
      <c r="A8" s="39" t="s">
        <v>5</v>
      </c>
      <c r="B8" s="44">
        <f t="shared" si="0"/>
        <v>-1</v>
      </c>
      <c r="C8" s="110">
        <v>0</v>
      </c>
      <c r="D8" s="37">
        <v>-782</v>
      </c>
      <c r="E8" s="123">
        <f>Belgium!E$3+Denmark!E$4+Germany!E$4+Switzerland!E$4+UK!E$5</f>
        <v>0</v>
      </c>
      <c r="F8" s="37">
        <f>Belgium!F$3+Denmark!F$4+Germany!F$4+Switzerland!F$4+UK!F$5</f>
        <v>433</v>
      </c>
      <c r="G8" s="37">
        <f>Belgium!G$3+Denmark!G$4+Germany!G$4+Switzerland!G$4+UK!G$5</f>
        <v>111</v>
      </c>
      <c r="H8" s="37">
        <f>Belgium!H$3+Denmark!H$4+Germany!H$4+Switzerland!H$4+UK!H$5</f>
        <v>92</v>
      </c>
      <c r="I8" s="37">
        <f>Belgium!I$3+Denmark!I$4+Germany!I$4+Switzerland!I$4+UK!I$5</f>
        <v>142</v>
      </c>
      <c r="J8" s="37">
        <f>Belgium!J$3+Denmark!J$4+Germany!J$4+Switzerland!J$4+UK!J$5</f>
        <v>316</v>
      </c>
      <c r="K8" s="37">
        <f>Belgium!K$3+Denmark!K$4+Germany!K$4+Switzerland!K$4+UK!K$5</f>
        <v>53</v>
      </c>
      <c r="L8" s="37">
        <f>Belgium!L$3+Denmark!L$4+Germany!L$4+Switzerland!L$4+UK!L$5</f>
        <v>251</v>
      </c>
      <c r="M8" s="37">
        <f>Belgium!M$3+Denmark!M$4+Germany!M$4+Switzerland!M$4+UK!M$5</f>
        <v>1869</v>
      </c>
      <c r="N8" s="37">
        <f>Belgium!N$3+Denmark!N$4+Germany!N$4+Switzerland!N$4+UK!N$5</f>
        <v>0</v>
      </c>
      <c r="O8" s="37">
        <f>Belgium!O$3+Denmark!O$4+Germany!O$4+Switzerland!O$4+UK!O$5</f>
        <v>1907</v>
      </c>
      <c r="P8" s="37">
        <f>Belgium!P$3+Denmark!P$4+Germany!P$4+Switzerland!P$4+UK!P$5</f>
        <v>105</v>
      </c>
      <c r="Q8" s="37">
        <f>Belgium!Q$3+Denmark!Q$4+Germany!Q$4+Switzerland!Q$4+UK!Q$5</f>
        <v>1417</v>
      </c>
      <c r="R8" s="37">
        <f>Belgium!R$3+Denmark!R$4+Germany!R$4+Switzerland!R$4+UK!R$5</f>
        <v>1040</v>
      </c>
      <c r="S8" s="37">
        <f>Belgium!S$3+Denmark!S$4+Germany!S$4+Switzerland!S$4+UK!S$5</f>
        <v>1202</v>
      </c>
      <c r="T8" s="59">
        <f>Belgium!T$3+Denmark!T$4+Germany!T$4+Switzerland!T$4+UK!T$5</f>
        <v>713</v>
      </c>
    </row>
    <row r="9" spans="1:21" x14ac:dyDescent="0.25">
      <c r="A9" s="39" t="s">
        <v>61</v>
      </c>
      <c r="B9" s="44">
        <f t="shared" si="0"/>
        <v>0.12876424825538935</v>
      </c>
      <c r="C9" s="110">
        <v>-51486.184999999998</v>
      </c>
      <c r="D9" s="37">
        <v>-41808.902999999991</v>
      </c>
      <c r="E9" s="123">
        <f>France!E$8+Italy!E$4</f>
        <v>105384.92600000001</v>
      </c>
      <c r="F9" s="37">
        <f>France!F$8+Italy!F$4</f>
        <v>93363.097000000009</v>
      </c>
      <c r="G9" s="37">
        <f>France!G$8+Italy!G$4</f>
        <v>62140.600000000006</v>
      </c>
      <c r="H9" s="37">
        <f>France!H$8+Italy!H$4</f>
        <v>70998.2</v>
      </c>
      <c r="I9" s="37">
        <f>France!I$8+Italy!I$4</f>
        <v>59131.3</v>
      </c>
      <c r="J9" s="37">
        <f>France!J$8+Italy!J$4</f>
        <v>65506.2</v>
      </c>
      <c r="K9" s="37">
        <f>France!K$8+Italy!K$4</f>
        <v>49464</v>
      </c>
      <c r="L9" s="37">
        <f>France!L$8+Italy!L$4</f>
        <v>63674.9</v>
      </c>
      <c r="M9" s="37">
        <f>France!M$8+Italy!M$4</f>
        <v>54257.3</v>
      </c>
      <c r="N9" s="37">
        <f>France!N$8+Italy!N$4</f>
        <v>69418</v>
      </c>
      <c r="O9" s="37">
        <f>France!O$8+Italy!O$4</f>
        <v>43602</v>
      </c>
      <c r="P9" s="37">
        <f>France!P$8+Italy!P$4</f>
        <v>20971</v>
      </c>
      <c r="Q9" s="37">
        <f>France!Q$8+Italy!Q$4</f>
        <v>48092.956609458226</v>
      </c>
      <c r="R9" s="37">
        <f>France!R$8+Italy!R$4</f>
        <v>30705.109201359592</v>
      </c>
      <c r="S9" s="37">
        <f>France!S$8+Italy!S$4</f>
        <v>19641</v>
      </c>
      <c r="T9" s="59">
        <f>France!T$8+Italy!T$4</f>
        <v>0</v>
      </c>
    </row>
    <row r="10" spans="1:21" x14ac:dyDescent="0.25">
      <c r="A10" s="39" t="s">
        <v>2</v>
      </c>
      <c r="B10" s="44">
        <f t="shared" si="0"/>
        <v>-0.48125704015712983</v>
      </c>
      <c r="C10" s="110">
        <v>-19232.685162959802</v>
      </c>
      <c r="D10" s="37">
        <v>-27293.844071200765</v>
      </c>
      <c r="E10" s="123">
        <f>Austria!E$5+Belgium!E$4+Denmark!E$5+France!E$9+Germany!E$5+Italy!E$5+Switzerland!E$5+Netherlands!E$3+Poland!E$4</f>
        <v>33305.863414634143</v>
      </c>
      <c r="F10" s="37">
        <f>Austria!F$5+Belgium!F$4+Denmark!F$5+France!F$9+Germany!F$5+Italy!F$5+Switzerland!F$5+Netherlands!F$3+Poland!F$4</f>
        <v>64204.945402483449</v>
      </c>
      <c r="G10" s="37">
        <f>Austria!G$5+Belgium!G$4+Denmark!G$5+France!G$9+Germany!G$5+Italy!G$5+Switzerland!G$5+Netherlands!G$3+Poland!G$4</f>
        <v>55549.434532870509</v>
      </c>
      <c r="H10" s="37">
        <f>Austria!H$5+Belgium!H$4+Denmark!H$5+France!H$9+Germany!H$5+Italy!H$5+Switzerland!H$5+Netherlands!H$3+Poland!H$4</f>
        <v>32062.400000000001</v>
      </c>
      <c r="I10" s="37">
        <f>Austria!I$5+Belgium!I$4+Denmark!I$5+France!I$9+Germany!I$5+Italy!I$5+Switzerland!I$5+Netherlands!I$3+Poland!I$4</f>
        <v>53711</v>
      </c>
      <c r="J10" s="37">
        <f>Austria!J$5+Belgium!J$4+Denmark!J$5+France!J$9+Germany!J$5+Italy!J$5+Switzerland!J$5+Netherlands!J$3+Poland!J$4</f>
        <v>39955.4</v>
      </c>
      <c r="K10" s="37">
        <f>Austria!K$5+Belgium!K$4+Denmark!K$5+France!K$9+Germany!K$5+Italy!K$5+Switzerland!K$5+Netherlands!K$3+Poland!K$4</f>
        <v>21870</v>
      </c>
      <c r="L10" s="37">
        <f>Austria!L$5+Belgium!L$4+Denmark!L$5+France!L$9+Germany!L$5+Italy!L$5+Switzerland!L$5+Netherlands!L$3+Poland!L$4</f>
        <v>48073</v>
      </c>
      <c r="M10" s="37">
        <f>Austria!M$5+Belgium!M$4+Denmark!M$5+France!M$9+Germany!M$5+Italy!M$5+Switzerland!M$5+Netherlands!M$3+Poland!M$4</f>
        <v>50732.259999999995</v>
      </c>
      <c r="N10" s="37">
        <f>Austria!N$5+Belgium!N$4+Denmark!N$5+France!N$9+Germany!N$5+Italy!N$5+Switzerland!N$5+Netherlands!N$3+Poland!N$4</f>
        <v>64030.86</v>
      </c>
      <c r="O10" s="37">
        <f>Austria!O$5+Belgium!O$4+Denmark!O$5+France!O$9+Germany!O$5+Italy!O$5+Switzerland!O$5+Netherlands!O$3+Poland!O$4</f>
        <v>40722.300000000003</v>
      </c>
      <c r="P10" s="37">
        <f>Austria!P$5+Belgium!P$4+Denmark!P$5+France!P$9+Germany!P$5+Italy!P$5+Switzerland!P$5+Netherlands!P$3+Poland!P$4</f>
        <v>32826.639999999999</v>
      </c>
      <c r="Q10" s="37">
        <f>Austria!Q$5+Belgium!Q$4+Denmark!Q$5+France!Q$9+Germany!Q$5+Italy!Q$5+Switzerland!Q$5+Netherlands!Q$3+Poland!Q$4</f>
        <v>52175</v>
      </c>
      <c r="R10" s="37">
        <f>Austria!R$5+Belgium!R$4+Denmark!R$5+France!R$9+Germany!R$5+Italy!R$5+Switzerland!R$5+Netherlands!R$3+Poland!R$4</f>
        <v>35404</v>
      </c>
      <c r="S10" s="37">
        <f>Austria!S$5+Belgium!S$4+Denmark!S$5+France!S$9+Germany!S$5+Italy!S$5+Switzerland!S$5+Netherlands!S$3+Poland!S$4</f>
        <v>61846.8</v>
      </c>
      <c r="T10" s="59">
        <f>Austria!T$5+Belgium!T$4+Denmark!T$5+France!T$9+Germany!T$5+Italy!T$5+Switzerland!T$5+Netherlands!T$3+Poland!T$4</f>
        <v>44568</v>
      </c>
    </row>
    <row r="11" spans="1:21" x14ac:dyDescent="0.25">
      <c r="A11" s="39" t="s">
        <v>12</v>
      </c>
      <c r="B11" s="44">
        <f t="shared" si="0"/>
        <v>2.4569009348242344E-2</v>
      </c>
      <c r="C11" s="110">
        <v>-27510.740231968543</v>
      </c>
      <c r="D11" s="37">
        <v>-35439.204969671002</v>
      </c>
      <c r="E11" s="123">
        <f>Austria!E$7+Denmark!E$6+France!E$10+Germany!E$6+Italy!E$6+Spain!E$2</f>
        <v>49068.271446313367</v>
      </c>
      <c r="F11" s="37">
        <f>Austria!F$7+Denmark!F$6+France!F$10+Germany!F$6+Italy!F$6+Spain!F$2</f>
        <v>47891.621743982963</v>
      </c>
      <c r="G11" s="37">
        <f>Austria!G$7+Denmark!G$6+France!G$10+Germany!G$6+Italy!G$6+Spain!G$2</f>
        <v>75522.876259805475</v>
      </c>
      <c r="H11" s="37">
        <f>Austria!H$7+Denmark!H$6+France!H$10+Germany!H$6+Italy!H$6+Spain!H$2</f>
        <v>66008.182044707093</v>
      </c>
      <c r="I11" s="37">
        <f>Austria!I$7+Denmark!I$6+France!I$10+Germany!I$6+Italy!I$6+Spain!I$2</f>
        <v>71462.457039495974</v>
      </c>
      <c r="J11" s="37">
        <f>Austria!J$7+Denmark!J$6+France!J$10+Germany!J$6+Italy!J$6+Spain!J$2</f>
        <v>87706.959999999992</v>
      </c>
      <c r="K11" s="37">
        <f>Austria!K$7+Denmark!K$6+France!K$10+Germany!K$6+Italy!K$6+Spain!K$2</f>
        <v>54843</v>
      </c>
      <c r="L11" s="37">
        <f>Austria!L$7+Denmark!L$6+France!L$10+Germany!L$6+Italy!L$6+Spain!L$2</f>
        <v>63636.366822938995</v>
      </c>
      <c r="M11" s="37">
        <f>Austria!M$7+Denmark!M$6+France!M$10+Germany!M$6+Italy!M$6+Spain!M$2</f>
        <v>84342.725107248087</v>
      </c>
      <c r="N11" s="37">
        <f>Austria!N$7+Denmark!N$6+France!N$10+Germany!N$6+Italy!N$6+Spain!N$2</f>
        <v>67858.72942544207</v>
      </c>
      <c r="O11" s="37">
        <f>Austria!O$7+Denmark!O$6+France!O$10+Germany!O$6+Italy!O$6+Spain!O$2</f>
        <v>85601.768825431733</v>
      </c>
      <c r="P11" s="37">
        <f>Austria!P$7+Denmark!P$6+France!P$10+Germany!P$6+Italy!P$6+Spain!P$2</f>
        <v>37492.338071602389</v>
      </c>
      <c r="Q11" s="37">
        <f>Austria!Q$7+Denmark!Q$6+France!Q$10+Germany!Q$6+Italy!Q$6+Spain!Q$2</f>
        <v>57853.962094113202</v>
      </c>
      <c r="R11" s="37">
        <f>Austria!R$7+Denmark!R$6+France!R$10+Germany!R$6+Italy!R$6+Spain!R$2</f>
        <v>67827.848137446999</v>
      </c>
      <c r="S11" s="37">
        <f>Austria!S$7+Denmark!S$6+France!S$10+Germany!S$6+Italy!S$6+Spain!S$2</f>
        <v>52301.836026374149</v>
      </c>
      <c r="T11" s="59">
        <f>Austria!T$7+Denmark!T$6+France!T$10+Germany!T$6+Italy!T$6+Spain!T$2</f>
        <v>41853.559638945881</v>
      </c>
    </row>
    <row r="12" spans="1:21" x14ac:dyDescent="0.25">
      <c r="A12" s="39" t="s">
        <v>9</v>
      </c>
      <c r="B12" s="44">
        <f t="shared" si="0"/>
        <v>-7.6955464059804746E-2</v>
      </c>
      <c r="C12" s="110">
        <v>-86271.958915732408</v>
      </c>
      <c r="D12" s="37">
        <v>-75195.391314184119</v>
      </c>
      <c r="E12" s="123">
        <f>Austria!E$8+'Czech Republic'!E$3+Denmark!E$7+France!E$11+Germany!E$7+Italy!E$7+Spain!E$3+Switzerland!E$6+UK!E$6+Poland!E$5</f>
        <v>113927.2892812575</v>
      </c>
      <c r="F12" s="37">
        <f>Austria!F$8+'Czech Republic'!F$3+Denmark!F$7+France!F$11+Germany!F$7+Italy!F$7+Spain!F$3+Switzerland!F$6+UK!F$6+Poland!F$5</f>
        <v>123425.56057191041</v>
      </c>
      <c r="G12" s="37">
        <f>Austria!G$8+'Czech Republic'!G$3+Denmark!G$7+France!G$11+Germany!G$7+Italy!G$7+Spain!G$3+Switzerland!G$6+UK!G$6+Poland!G$5</f>
        <v>161622.40203872917</v>
      </c>
      <c r="H12" s="37">
        <f>Austria!H$8+'Czech Republic'!H$3+Denmark!H$7+France!H$11+Germany!H$7+Italy!H$7+Spain!H$3+Switzerland!H$6+UK!H$6+Poland!H$5</f>
        <v>120800.33503028125</v>
      </c>
      <c r="I12" s="37">
        <f>Austria!I$8+'Czech Republic'!I$3+Denmark!I$7+France!I$11+Germany!I$7+Italy!I$7+Spain!I$3+Switzerland!I$6+UK!I$6+Poland!I$5</f>
        <v>102043.1771706047</v>
      </c>
      <c r="J12" s="37">
        <f>Austria!J$8+'Czech Republic'!J$3+Denmark!J$7+France!J$11+Germany!J$7+Italy!J$7+Spain!J$3+Switzerland!J$6+UK!J$6+Poland!J$5</f>
        <v>114199.9</v>
      </c>
      <c r="K12" s="37">
        <f>Austria!K$8+'Czech Republic'!K$3+Denmark!K$7+France!K$11+Germany!K$7+Italy!K$7+Spain!K$3+Switzerland!K$6+UK!K$6+Poland!K$5</f>
        <v>44758</v>
      </c>
      <c r="L12" s="37">
        <f>Austria!L$8+'Czech Republic'!L$3+Denmark!L$7+France!L$11+Germany!L$7+Italy!L$7+Spain!L$3+Switzerland!L$6+UK!L$6+Poland!L$5</f>
        <v>59010.394336731377</v>
      </c>
      <c r="M12" s="37">
        <f>Austria!M$8+'Czech Republic'!M$3+Denmark!M$7+France!M$11+Germany!M$7+Italy!M$7+Spain!M$3+Switzerland!M$6+UK!M$6+Poland!M$5</f>
        <v>65343.199630908413</v>
      </c>
      <c r="N12" s="37">
        <f>Austria!N$8+'Czech Republic'!N$3+Denmark!N$7+France!N$11+Germany!N$7+Italy!N$7+Spain!N$3+Switzerland!N$6+UK!N$6+Poland!N$5</f>
        <v>60274.50506925326</v>
      </c>
      <c r="O12" s="37">
        <f>Austria!O$8+'Czech Republic'!O$3+Denmark!O$7+France!O$11+Germany!O$7+Italy!O$7+Spain!O$3+Switzerland!O$6+UK!O$6+Poland!O$5</f>
        <v>73996.686772737026</v>
      </c>
      <c r="P12" s="37">
        <f>Austria!P$8+'Czech Republic'!P$3+Denmark!P$7+France!P$11+Germany!P$7+Italy!P$7+Spain!P$3+Switzerland!P$6+UK!P$6+Poland!P$5</f>
        <v>30781.66</v>
      </c>
      <c r="Q12" s="37">
        <f>Austria!Q$8+'Czech Republic'!Q$3+Denmark!Q$7+France!Q$11+Germany!Q$7+Italy!Q$7+Spain!Q$3+Switzerland!Q$6+UK!Q$6+Poland!Q$5</f>
        <v>42293.810728606768</v>
      </c>
      <c r="R12" s="37">
        <f>Austria!R$8+'Czech Republic'!R$3+Denmark!R$7+France!R$11+Germany!R$7+Italy!R$7+Spain!R$3+Switzerland!R$6+UK!R$6+Poland!R$5</f>
        <v>60645.360867274372</v>
      </c>
      <c r="S12" s="37">
        <f>Austria!S$8+'Czech Republic'!S$3+Denmark!S$7+France!S$11+Germany!S$7+Italy!S$7+Spain!S$3+Switzerland!S$6+UK!S$6+Poland!S$5</f>
        <v>67945.954946544312</v>
      </c>
      <c r="T12" s="59">
        <f>Austria!T$8+'Czech Republic'!T$3+Denmark!T$7+France!T$11+Germany!T$7+Italy!T$7+Spain!T$3+Switzerland!T$6+UK!T$6+Poland!T$5</f>
        <v>37450.174335712261</v>
      </c>
    </row>
    <row r="13" spans="1:21" x14ac:dyDescent="0.25">
      <c r="A13" s="39" t="s">
        <v>14</v>
      </c>
      <c r="B13" s="44">
        <f t="shared" si="0"/>
        <v>-0.30552524551135801</v>
      </c>
      <c r="C13" s="110">
        <v>-4015</v>
      </c>
      <c r="D13" s="37">
        <v>-5067</v>
      </c>
      <c r="E13" s="123">
        <f>Austria!E$9+Belgium!E$5+'Czech Republic'!E$4+Denmark!E$8+Germany!E$8+Italy!E$8+Poland!E$6</f>
        <v>7001</v>
      </c>
      <c r="F13" s="37">
        <f>Austria!F$9+Belgium!F$5+'Czech Republic'!F$4+Denmark!F$8+Germany!F$8+Italy!F$8+Poland!F$6</f>
        <v>10081</v>
      </c>
      <c r="G13" s="37">
        <f>Austria!G$9+Belgium!G$5+'Czech Republic'!G$4+Denmark!G$8+Germany!G$8+Italy!G$8+Poland!G$6</f>
        <v>20094</v>
      </c>
      <c r="H13" s="37">
        <f>Austria!H$9+Belgium!H$5+'Czech Republic'!H$4+Denmark!H$8+Germany!H$8+Italy!H$8+Poland!H$6</f>
        <v>45095</v>
      </c>
      <c r="I13" s="37">
        <f>Austria!I$9+Belgium!I$5+'Czech Republic'!I$4+Denmark!I$8+Germany!I$8+Italy!I$8+Poland!I$6</f>
        <v>40106</v>
      </c>
      <c r="J13" s="37">
        <f>Austria!J$9+Belgium!J$5+'Czech Republic'!J$4+Denmark!J$8+Germany!J$8+Italy!J$8+Poland!J$6</f>
        <v>41037</v>
      </c>
      <c r="K13" s="37">
        <f>Austria!K$9+Belgium!K$5+'Czech Republic'!K$4+Denmark!K$8+Germany!K$8+Italy!K$8+Poland!K$6</f>
        <v>40296</v>
      </c>
      <c r="L13" s="37">
        <f>Austria!L$9+Belgium!L$5+'Czech Republic'!L$4+Denmark!L$8+Germany!L$8+Italy!L$8+Poland!L$6</f>
        <v>50459</v>
      </c>
      <c r="M13" s="37">
        <f>Austria!M$9+Belgium!M$5+'Czech Republic'!M$4+Denmark!M$8+Germany!M$8+Italy!M$8+Poland!M$6</f>
        <v>45989</v>
      </c>
      <c r="N13" s="37">
        <f>Austria!N$9+Belgium!N$5+'Czech Republic'!N$4+Denmark!N$8+Germany!N$8+Italy!N$8+Poland!N$6</f>
        <v>41018</v>
      </c>
      <c r="O13" s="37">
        <f>Austria!O$9+Belgium!O$5+'Czech Republic'!O$4+Denmark!O$8+Germany!O$8+Italy!O$8+Poland!O$6</f>
        <v>41043</v>
      </c>
      <c r="P13" s="37">
        <f>Austria!P$9+Belgium!P$5+'Czech Republic'!P$4+Denmark!P$8+Germany!P$8+Italy!P$8+Poland!P$6</f>
        <v>41475</v>
      </c>
      <c r="Q13" s="37">
        <f>Austria!Q$9+Belgium!Q$5+'Czech Republic'!Q$4+Denmark!Q$8+Germany!Q$8+Italy!Q$8+Poland!Q$6</f>
        <v>41949.075684618285</v>
      </c>
      <c r="R13" s="37">
        <f>Austria!R$9+Belgium!R$5+'Czech Republic'!R$4+Denmark!R$8+Germany!R$8+Italy!R$8+Poland!R$6</f>
        <v>6907</v>
      </c>
      <c r="S13" s="37">
        <f>Austria!S$9+Belgium!S$5+'Czech Republic'!S$4+Denmark!S$8+Germany!S$8+Italy!S$8+Poland!S$6</f>
        <v>12534.970000000001</v>
      </c>
      <c r="T13" s="59">
        <f>Austria!T$9+Belgium!T$5+'Czech Republic'!T$4+Denmark!T$8+Germany!T$8+Italy!T$8+Poland!T$6</f>
        <v>7925.11</v>
      </c>
    </row>
    <row r="14" spans="1:21" x14ac:dyDescent="0.25">
      <c r="A14" s="39" t="s">
        <v>3</v>
      </c>
      <c r="B14" s="44">
        <f t="shared" si="0"/>
        <v>0.4132588367689532</v>
      </c>
      <c r="C14" s="110">
        <v>-132417.23301760398</v>
      </c>
      <c r="D14" s="37">
        <v>-148916.75387241651</v>
      </c>
      <c r="E14" s="123">
        <f>Austria!E$10+Belgium!E$6+'Czech Republic'!E$5+France!E$12+Germany!E$9+Italy!E$9+Spain!E$4+Switzerland!E$8+Netherlands!E$4+Poland!E$7</f>
        <v>682578.48843884945</v>
      </c>
      <c r="F14" s="37">
        <f>Austria!F$10+Belgium!F$6+'Czech Republic'!F$5+France!F$12+Germany!F$9+Italy!F$9+Spain!F$4+Switzerland!F$8+Netherlands!F$4+Poland!F$7</f>
        <v>482981.93556630198</v>
      </c>
      <c r="G14" s="37">
        <f>Austria!G$10+Belgium!G$6+'Czech Republic'!G$5+France!G$12+Germany!G$9+Italy!G$9+Spain!G$4+Switzerland!G$8+Netherlands!G$4+Poland!G$7</f>
        <v>647835.78217691265</v>
      </c>
      <c r="H14" s="37">
        <f>Austria!H$10+Belgium!H$6+'Czech Republic'!H$5+France!H$12+Germany!H$9+Italy!H$9+Spain!H$4+Switzerland!H$8+Netherlands!H$4+Poland!H$7</f>
        <v>513961.0256623773</v>
      </c>
      <c r="I14" s="37">
        <f>Austria!I$10+Belgium!I$6+'Czech Republic'!I$5+France!I$12+Germany!I$9+Italy!I$9+Spain!I$4+Switzerland!I$8+Netherlands!I$4+Poland!I$7</f>
        <v>646374.18244311097</v>
      </c>
      <c r="J14" s="37">
        <f>Austria!J$10+Belgium!J$6+'Czech Republic'!J$5+France!J$12+Germany!J$9+Italy!J$9+Spain!J$4+Switzerland!J$8+Netherlands!J$4+Poland!J$7</f>
        <v>669581.6</v>
      </c>
      <c r="K14" s="37">
        <f>Austria!K$10+Belgium!K$6+'Czech Republic'!K$5+France!K$12+Germany!K$9+Italy!K$9+Spain!K$4+Switzerland!K$8+Netherlands!K$4+Poland!K$7</f>
        <v>445055</v>
      </c>
      <c r="L14" s="37">
        <f>Austria!L$10+Belgium!L$6+'Czech Republic'!L$5+France!L$12+Germany!L$9+Italy!L$9+Spain!L$4+Switzerland!L$8+Netherlands!L$4+Poland!L$7</f>
        <v>749980.57311930775</v>
      </c>
      <c r="M14" s="37">
        <f>Austria!M$10+Belgium!M$6+'Czech Republic'!M$5+France!M$12+Germany!M$9+Italy!M$9+Spain!M$4+Switzerland!M$8+Netherlands!M$4+Poland!M$7</f>
        <v>738832.17430465354</v>
      </c>
      <c r="N14" s="37">
        <f>Austria!N$10+Belgium!N$6+'Czech Republic'!N$5+France!N$12+Germany!N$9+Italy!N$9+Spain!N$4+Switzerland!N$8+Netherlands!N$4+Poland!N$7</f>
        <v>763810.45176494878</v>
      </c>
      <c r="O14" s="37">
        <f>Austria!O$10+Belgium!O$6+'Czech Republic'!O$5+France!O$12+Germany!O$9+Italy!O$9+Spain!O$4+Switzerland!O$8+Netherlands!O$4+Poland!O$7</f>
        <v>701600.97497093189</v>
      </c>
      <c r="P14" s="37">
        <f>Austria!P$10+Belgium!P$6+'Czech Republic'!P$5+France!P$12+Germany!P$9+Italy!P$9+Spain!P$4+Switzerland!P$8+Netherlands!P$4+Poland!P$7</f>
        <v>557218.77763352951</v>
      </c>
      <c r="Q14" s="37">
        <f>Austria!Q$10+Belgium!Q$6+'Czech Republic'!Q$5+France!Q$12+Germany!Q$9+Italy!Q$9+Spain!Q$4+Switzerland!Q$8+Netherlands!Q$4+Poland!Q$7</f>
        <v>699267.27345443168</v>
      </c>
      <c r="R14" s="37">
        <f>Austria!R$10+Belgium!R$6+'Czech Republic'!R$5+France!R$12+Germany!R$9+Italy!R$9+Spain!R$4+Switzerland!R$8+Netherlands!R$4+Poland!R$7</f>
        <v>640073.60039808543</v>
      </c>
      <c r="S14" s="37">
        <f>Austria!S$10+Belgium!S$6+'Czech Republic'!S$5+France!S$12+Germany!S$9+Italy!S$9+Spain!S$4+Switzerland!S$8+Netherlands!S$4+Poland!S$7</f>
        <v>683534.10555600189</v>
      </c>
      <c r="T14" s="59">
        <f>Austria!T$10+Belgium!T$6+'Czech Republic'!T$5+France!T$12+Germany!T$9+Italy!T$9+Spain!T$4+Switzerland!T$8+Netherlands!T$4+Poland!T$7</f>
        <v>604548.22990314767</v>
      </c>
    </row>
    <row r="15" spans="1:21" x14ac:dyDescent="0.25">
      <c r="A15" s="39" t="s">
        <v>17</v>
      </c>
      <c r="B15" s="44">
        <f t="shared" si="0"/>
        <v>-0.20296140785149341</v>
      </c>
      <c r="C15" s="110">
        <v>-26770.190013839718</v>
      </c>
      <c r="D15" s="37">
        <v>-37422.936525181925</v>
      </c>
      <c r="E15" s="123">
        <f>Austria!E$11+France!E$14+Italy!E$10+Spain!E$5+Switzerland!E$9+Denmark!E$9</f>
        <v>61688.897641577874</v>
      </c>
      <c r="F15" s="37">
        <f>Austria!F$11+France!F$14+Italy!F$10+Spain!F$5+Switzerland!F$9+Denmark!F$9</f>
        <v>77397.629486532838</v>
      </c>
      <c r="G15" s="37">
        <f>Austria!G$11+France!G$14+Italy!G$10+Spain!G$5+Switzerland!G$9+Denmark!G$9</f>
        <v>75791.139424778405</v>
      </c>
      <c r="H15" s="37">
        <f>Austria!H$11+France!H$14+Italy!H$10+Spain!H$5+Switzerland!H$9+Denmark!H$9</f>
        <v>93651.106314375662</v>
      </c>
      <c r="I15" s="37">
        <f>Austria!I$11+France!I$14+Italy!I$10+Spain!I$5+Switzerland!I$9+Denmark!I$9</f>
        <v>70886.895219718353</v>
      </c>
      <c r="J15" s="37">
        <f>Austria!J$11+France!J$14+Italy!J$10+Spain!J$5+Switzerland!J$9</f>
        <v>84279.94</v>
      </c>
      <c r="K15" s="37">
        <f>Austria!K$11+France!K$14+Italy!K$10+Spain!K$5+Switzerland!K$9</f>
        <v>82648</v>
      </c>
      <c r="L15" s="37">
        <f>Austria!L$11+France!L$14+Italy!L$10+Spain!L$5+Switzerland!L$9</f>
        <v>68011.807822777002</v>
      </c>
      <c r="M15" s="37">
        <f>Austria!M$11+France!M$14+Italy!M$10+Spain!M$5+Switzerland!M$9</f>
        <v>94799.061513953784</v>
      </c>
      <c r="N15" s="37">
        <f>Austria!N$11+France!N$14+Italy!N$10+Spain!N$5+Switzerland!N$9</f>
        <v>78545.596613197602</v>
      </c>
      <c r="O15" s="37">
        <f>Austria!O$11+France!O$14+Italy!O$10+Spain!O$5+Switzerland!O$9</f>
        <v>81197.30932488096</v>
      </c>
      <c r="P15" s="37">
        <f>Austria!P$11+France!P$14+Italy!P$10+Spain!P$5+Switzerland!P$9</f>
        <v>41960.157530405544</v>
      </c>
      <c r="Q15" s="37">
        <f>Austria!Q$11+France!Q$14+Italy!Q$10+Spain!Q$5+Switzerland!Q$9</f>
        <v>57382.78450103019</v>
      </c>
      <c r="R15" s="37">
        <f>Austria!R$11+France!R$14+Italy!R$10+Spain!R$5+Switzerland!R$9</f>
        <v>46064.57019226464</v>
      </c>
      <c r="S15" s="37">
        <f>Austria!S$11+France!S$14+Italy!S$10+Spain!S$5+Switzerland!S$9</f>
        <v>48779.908977841522</v>
      </c>
      <c r="T15" s="59">
        <f>Austria!T$11+France!T$14+Italy!T$10+Spain!T$5+Switzerland!T$9</f>
        <v>26188.702341418088</v>
      </c>
    </row>
    <row r="16" spans="1:21" x14ac:dyDescent="0.25">
      <c r="A16" s="39" t="s">
        <v>15</v>
      </c>
      <c r="B16" s="44" t="str">
        <f t="shared" si="0"/>
        <v/>
      </c>
      <c r="C16" s="110">
        <v>0</v>
      </c>
      <c r="D16" s="37">
        <v>-63</v>
      </c>
      <c r="E16" s="123">
        <f>Denmark!E$10+Germany!E$10</f>
        <v>4</v>
      </c>
      <c r="F16" s="37">
        <f>Denmark!F$10+Germany!F$10</f>
        <v>0</v>
      </c>
      <c r="G16" s="37">
        <f>Denmark!G$10+Germany!G$10</f>
        <v>20</v>
      </c>
      <c r="H16" s="37">
        <f>Denmark!H$10+Germany!H$10</f>
        <v>0</v>
      </c>
      <c r="I16" s="37">
        <f>Denmark!I$10+Germany!I$10</f>
        <v>0</v>
      </c>
      <c r="J16" s="37">
        <f>Denmark!J$10+Germany!J$10</f>
        <v>35</v>
      </c>
      <c r="K16" s="37">
        <f>Denmark!K$10+Germany!K$10</f>
        <v>0</v>
      </c>
      <c r="L16" s="37">
        <f>Denmark!L$10+Germany!L$10</f>
        <v>0</v>
      </c>
      <c r="M16" s="37">
        <f>Denmark!M$10+Germany!M$10</f>
        <v>97</v>
      </c>
      <c r="N16" s="37">
        <f>Denmark!N$10+Germany!N$10</f>
        <v>138</v>
      </c>
      <c r="O16" s="37">
        <f>Denmark!O$10+Germany!O$10</f>
        <v>0</v>
      </c>
      <c r="P16" s="37">
        <f>Denmark!P$10+Germany!P$10</f>
        <v>0</v>
      </c>
      <c r="Q16" s="37">
        <f>Denmark!Q$10+Germany!Q$10</f>
        <v>27</v>
      </c>
      <c r="R16" s="37">
        <f>Denmark!R$10+Germany!R$10</f>
        <v>64</v>
      </c>
      <c r="S16" s="37">
        <f>Denmark!S$10+Germany!S$10</f>
        <v>0</v>
      </c>
      <c r="T16" s="59">
        <f>Denmark!T$10+Germany!T$10</f>
        <v>0</v>
      </c>
    </row>
    <row r="17" spans="1:106" x14ac:dyDescent="0.25">
      <c r="A17" s="39" t="s">
        <v>10</v>
      </c>
      <c r="B17" s="44">
        <f t="shared" si="0"/>
        <v>-0.28397818918604423</v>
      </c>
      <c r="C17" s="110">
        <v>-26589.367511767225</v>
      </c>
      <c r="D17" s="37">
        <v>-32154.453947368427</v>
      </c>
      <c r="E17" s="123">
        <f>Austria!E$12+'Czech Republic'!E$6+Denmark!E$11+France!E$16+Germany!E$11+Italy!E$11+Switzerland!E$10+Poland!E$8</f>
        <v>89067.474593495936</v>
      </c>
      <c r="F17" s="37">
        <f>Austria!F$12+'Czech Republic'!F$6+Denmark!F$11+France!F$16+Germany!F$11+Italy!F$11+Switzerland!F$10+Poland!F$8</f>
        <v>124392.125</v>
      </c>
      <c r="G17" s="37">
        <f>Austria!G$12+'Czech Republic'!G$6+Denmark!G$11+France!G$16+Germany!G$11+Italy!G$11+Switzerland!G$10+Poland!G$8</f>
        <v>153078.16666666666</v>
      </c>
      <c r="H17" s="37">
        <f>Austria!H$12+'Czech Republic'!H$6+Denmark!H$11+France!H$16+Germany!H$11+Italy!H$11+Switzerland!H$10+Poland!H$8</f>
        <v>153487.45000000001</v>
      </c>
      <c r="I17" s="37">
        <f>Austria!I$12+'Czech Republic'!I$6+Denmark!I$11+France!I$16+Germany!I$11+Italy!I$11+Switzerland!I$10+Poland!I$8</f>
        <v>89378</v>
      </c>
      <c r="J17" s="37">
        <f>Austria!J$12+'Czech Republic'!J$6+Denmark!J$11+France!J$16+Germany!J$11+Italy!J$11+Switzerland!J$10+Poland!J$8</f>
        <v>213639.58000000002</v>
      </c>
      <c r="K17" s="37">
        <f>Austria!K$12+'Czech Republic'!K$6+Denmark!K$11+France!K$16+Germany!K$11+Italy!K$11+Switzerland!K$10+Poland!K$8</f>
        <v>82271</v>
      </c>
      <c r="L17" s="37">
        <f>Austria!L$12+'Czech Republic'!L$6+Denmark!L$11+France!L$16+Germany!L$11+Italy!L$11+Switzerland!L$10+Poland!L$8</f>
        <v>182344.66</v>
      </c>
      <c r="M17" s="37">
        <f>Austria!M$12+'Czech Republic'!M$6+Denmark!M$11+France!M$16+Germany!M$11+Italy!M$11+Switzerland!M$10+Poland!M$8</f>
        <v>205361.91999999998</v>
      </c>
      <c r="N17" s="37">
        <f>Austria!N$12+'Czech Republic'!N$6+Denmark!N$11+France!N$16+Germany!N$11+Italy!N$11+Switzerland!N$10+Poland!N$8</f>
        <v>161068.98000000001</v>
      </c>
      <c r="O17" s="37">
        <f>Austria!O$12+'Czech Republic'!O$6+Denmark!O$11+France!O$16+Germany!O$11+Italy!O$11+Switzerland!O$10+Poland!O$8</f>
        <v>192777.8</v>
      </c>
      <c r="P17" s="37">
        <f>Austria!P$12+'Czech Republic'!P$6+Denmark!P$11+France!P$16+Germany!P$11+Italy!P$11+Switzerland!P$10+Poland!P$8</f>
        <v>168189.26</v>
      </c>
      <c r="Q17" s="37">
        <f>Austria!Q$12+'Czech Republic'!Q$6+Denmark!Q$11+France!Q$16+Germany!Q$11+Italy!Q$11+Switzerland!Q$10+Poland!Q$8</f>
        <v>157330.46539247863</v>
      </c>
      <c r="R17" s="37">
        <f>Austria!R$12+'Czech Republic'!R$6+Denmark!R$11+France!R$16+Germany!R$11+Italy!R$11+Switzerland!R$10+Poland!R$8</f>
        <v>77506.941897024954</v>
      </c>
      <c r="S17" s="37">
        <f>Austria!S$12+'Czech Republic'!S$6+Denmark!S$11+France!S$16+Germany!S$11+Italy!S$11+Switzerland!S$10+Poland!S$8</f>
        <v>111380.23999999999</v>
      </c>
      <c r="T17" s="59">
        <f>Austria!T$12+'Czech Republic'!T$6+Denmark!T$11+France!T$16+Germany!T$11+Italy!T$11+Switzerland!T$10+Poland!T$8</f>
        <v>116812.51999999999</v>
      </c>
      <c r="U17" s="1"/>
    </row>
    <row r="18" spans="1:106" x14ac:dyDescent="0.25">
      <c r="A18" s="39" t="s">
        <v>27</v>
      </c>
      <c r="B18" s="44">
        <f t="shared" si="0"/>
        <v>-0.14024283981963115</v>
      </c>
      <c r="C18" s="110">
        <v>-27016.916481253575</v>
      </c>
      <c r="D18" s="37">
        <v>-27736.638228412587</v>
      </c>
      <c r="E18" s="123">
        <f>Austria!E$13+Belgium!E$7+'Czech Republic'!E$7+Denmark!E$13+France!E$18+Germany!E$13+Italy!E$12+Switzerland!E$11+Netherlands!E$5+UK!E$7+Poland!E$9</f>
        <v>83770.433185248898</v>
      </c>
      <c r="F18" s="37">
        <f>Austria!F$13+Belgium!F$7+'Czech Republic'!F$7+Denmark!F$13+France!F$18+Germany!F$13+Italy!F$12+Switzerland!F$11+Netherlands!F$5+UK!F$7+Poland!F$9</f>
        <v>97434.993350534773</v>
      </c>
      <c r="G18" s="37">
        <f>Austria!G$13+Belgium!G$7+'Czech Republic'!G$7+Denmark!G$13+France!G$18+Germany!G$13+Italy!G$12+Switzerland!G$11+Netherlands!G$5+UK!G$7+Poland!G$9</f>
        <v>153856.70356157731</v>
      </c>
      <c r="H18" s="37">
        <f>Austria!H$13+Belgium!H$7+'Czech Republic'!H$7+Denmark!H$13+France!H$18+Germany!H$13+Italy!H$12+Switzerland!H$11+Netherlands!H$5+UK!H$7+Poland!H$9</f>
        <v>111056.65</v>
      </c>
      <c r="I18" s="37">
        <f>Austria!I$13+Belgium!I$7+'Czech Republic'!I$7+Denmark!I$13+France!I$18+Germany!I$13+Italy!I$12+Switzerland!I$11+Netherlands!I$5+UK!I$7+Poland!I$9</f>
        <v>105428.2</v>
      </c>
      <c r="J18" s="37">
        <f>Austria!J$13+Belgium!J$7+'Czech Republic'!J$7+Denmark!J$13+France!J$18+Germany!J$13+Italy!J$12+Switzerland!J$11+Netherlands!J$5+UK!J$7+Poland!J$9</f>
        <v>137900.48000000001</v>
      </c>
      <c r="K18" s="37">
        <f>Austria!K$13+Belgium!K$7+'Czech Republic'!K$7+Denmark!K$13+France!K$18+Germany!K$13+Italy!K$12+Switzerland!K$11+Netherlands!K$5+UK!K$7+Poland!K$9</f>
        <v>54880</v>
      </c>
      <c r="L18" s="37">
        <f>Austria!L$13+Belgium!L$7+'Czech Republic'!L$7+Denmark!L$13+France!L$18+Germany!L$13+Italy!L$12+Switzerland!L$11+Netherlands!L$5+UK!L$7+Poland!L$9</f>
        <v>150137.28</v>
      </c>
      <c r="M18" s="37">
        <f>Austria!M$13+Belgium!M$7+'Czech Republic'!M$7+Denmark!M$13+France!M$18+Germany!M$13+Italy!M$12+Switzerland!M$11+Netherlands!M$5+UK!M$7+Poland!M$9</f>
        <v>181972.13999999998</v>
      </c>
      <c r="N18" s="37">
        <f>Austria!N$13+Belgium!N$7+'Czech Republic'!N$7+Denmark!N$13+France!N$18+Germany!N$13+Italy!N$12+Switzerland!N$11+Netherlands!N$5+UK!N$7+Poland!N$9</f>
        <v>190635.06</v>
      </c>
      <c r="O18" s="37">
        <f>Austria!O$13+Belgium!O$7+'Czech Republic'!O$7+Denmark!O$13+France!O$18+Germany!O$13+Italy!O$12+Switzerland!O$11+Netherlands!O$5+UK!O$7+Poland!O$9</f>
        <v>162567.67999999999</v>
      </c>
      <c r="P18" s="37">
        <f>Austria!P$13+Belgium!P$7+'Czech Republic'!P$7+Denmark!P$13+France!P$18+Germany!P$13+Italy!P$12+Switzerland!P$11+Netherlands!P$5+UK!P$7+Poland!P$9</f>
        <v>144874.23999999999</v>
      </c>
      <c r="Q18" s="37">
        <f>Austria!Q$13+Belgium!Q$7+'Czech Republic'!Q$7+Denmark!Q$13+France!Q$18+Germany!Q$13+Italy!Q$12+Switzerland!Q$11+Netherlands!Q$5+UK!Q$7+Poland!Q$9</f>
        <v>198784.27405579167</v>
      </c>
      <c r="R18" s="37">
        <f>Austria!R$13+Belgium!R$7+'Czech Republic'!R$7+Denmark!R$13+France!R$18+Germany!R$13+Italy!R$12+Switzerland!R$11+Netherlands!R$5+UK!R$7+Poland!R$9</f>
        <v>126814.28251727117</v>
      </c>
      <c r="S18" s="37">
        <f>Austria!S$13+Belgium!S$7+'Czech Republic'!S$7+Denmark!S$13+France!S$18+Germany!S$13+Italy!S$12+Switzerland!S$11+Netherlands!S$5+UK!S$7+Poland!S$9</f>
        <v>216064.47999999998</v>
      </c>
      <c r="T18" s="59">
        <f>Austria!T$13+Belgium!T$7+'Czech Republic'!T$7+Denmark!T$13+France!T$18+Germany!T$13+Italy!T$12+Switzerland!T$11+Netherlands!T$5+UK!T$7+Poland!T$9</f>
        <v>218512.68</v>
      </c>
      <c r="U18" s="1"/>
    </row>
    <row r="19" spans="1:106" x14ac:dyDescent="0.25">
      <c r="A19" s="39" t="s">
        <v>26</v>
      </c>
      <c r="B19" s="44">
        <f t="shared" si="0"/>
        <v>-0.16016731373580811</v>
      </c>
      <c r="C19" s="110">
        <v>-2856.8440080361979</v>
      </c>
      <c r="D19" s="37">
        <v>-4786.5503741768989</v>
      </c>
      <c r="E19" s="123">
        <f>Austria!E$14+Belgium!E$8+Denmark!E$14+Germany!E$14+UK!E$8</f>
        <v>17132.124577566079</v>
      </c>
      <c r="F19" s="37">
        <f>Austria!F$14+Belgium!F$8+Denmark!F$14+Germany!F$14+UK!F$8</f>
        <v>20399.449625823101</v>
      </c>
      <c r="G19" s="37">
        <f>Austria!G$14+Belgium!G$8+Denmark!G$14+Germany!G$14+UK!G$8</f>
        <v>39095.623634872987</v>
      </c>
      <c r="H19" s="37">
        <f>Austria!H$14+Belgium!H$8+Denmark!H$14+Germany!H$14+UK!H$8</f>
        <v>31068</v>
      </c>
      <c r="I19" s="37">
        <f>Austria!I$14+Belgium!I$8+Denmark!I$14+Germany!I$14+UK!I$8</f>
        <v>42551</v>
      </c>
      <c r="J19" s="37">
        <f>Austria!J$14+Belgium!J$8+Denmark!J$14+Germany!J$14+UK!J$8</f>
        <v>61120</v>
      </c>
      <c r="K19" s="37">
        <f>Austria!K$14+Belgium!K$8+Denmark!K$14+Germany!K$14+UK!K$8</f>
        <v>15147</v>
      </c>
      <c r="L19" s="37">
        <f>Austria!L$14+Belgium!L$8+Denmark!L$14+Germany!L$14+UK!L$8</f>
        <v>57558</v>
      </c>
      <c r="M19" s="37">
        <f>Austria!M$14+Belgium!M$8+Denmark!M$14+Germany!M$14+UK!M$8</f>
        <v>63450.9</v>
      </c>
      <c r="N19" s="37">
        <f>Austria!N$14+Belgium!N$8+Denmark!N$14+Germany!N$14+UK!N$8</f>
        <v>80111.740000000005</v>
      </c>
      <c r="O19" s="37">
        <f>Austria!O$14+Belgium!O$8+Denmark!O$14+Germany!O$14+UK!O$8</f>
        <v>48006.22</v>
      </c>
      <c r="P19" s="37">
        <f>Austria!P$14+Belgium!P$8+Denmark!P$14+Germany!P$14+UK!P$8</f>
        <v>62503.68</v>
      </c>
      <c r="Q19" s="37">
        <f>Austria!Q$14+Belgium!Q$8+Denmark!Q$14+Germany!Q$14+UK!Q$8</f>
        <v>67236</v>
      </c>
      <c r="R19" s="37">
        <f>Austria!R$14+Belgium!R$8+Denmark!R$14+Germany!R$14+UK!R$8</f>
        <v>48694.726031768951</v>
      </c>
      <c r="S19" s="37">
        <f>Austria!S$14+Belgium!S$8+Denmark!S$14+Germany!S$14+UK!S$8</f>
        <v>68587</v>
      </c>
      <c r="T19" s="59">
        <f>Austria!T$14+Belgium!T$8+Denmark!T$14+Germany!T$14+UK!T$8</f>
        <v>64784</v>
      </c>
    </row>
    <row r="20" spans="1:106" x14ac:dyDescent="0.25">
      <c r="A20" s="39" t="s">
        <v>50</v>
      </c>
      <c r="B20" s="44" t="str">
        <f t="shared" si="0"/>
        <v/>
      </c>
      <c r="C20" s="110">
        <v>0</v>
      </c>
      <c r="D20" s="37">
        <v>0</v>
      </c>
      <c r="E20" s="123">
        <f>Italy!E$13</f>
        <v>0</v>
      </c>
      <c r="F20" s="37">
        <f>Italy!F$13</f>
        <v>0</v>
      </c>
      <c r="G20" s="37">
        <f>Italy!G$13</f>
        <v>0</v>
      </c>
      <c r="H20" s="37">
        <f>Italy!H$13</f>
        <v>0</v>
      </c>
      <c r="I20" s="37">
        <f>Italy!I$13</f>
        <v>0</v>
      </c>
      <c r="J20" s="37">
        <f>Italy!J$13</f>
        <v>0</v>
      </c>
      <c r="K20" s="37">
        <f>Italy!K$13</f>
        <v>0</v>
      </c>
      <c r="L20" s="37">
        <f>Italy!L$13</f>
        <v>0</v>
      </c>
      <c r="M20" s="37">
        <f>Italy!M$13</f>
        <v>0</v>
      </c>
      <c r="N20" s="37">
        <f>Italy!N$13</f>
        <v>6</v>
      </c>
      <c r="O20" s="37">
        <f>Italy!O$13</f>
        <v>0</v>
      </c>
      <c r="P20" s="37">
        <f>Italy!P$13+Poland!P$10</f>
        <v>60000</v>
      </c>
      <c r="Q20" s="37">
        <f>Italy!Q$13+Poland!Q$10</f>
        <v>60002.004452036366</v>
      </c>
      <c r="R20" s="37">
        <f>Italy!R$13+Poland!R$10</f>
        <v>0</v>
      </c>
      <c r="S20" s="37">
        <f>Italy!S$13+Poland!S$10</f>
        <v>2</v>
      </c>
      <c r="T20" s="59">
        <f>Italy!T$13+Poland!T$10</f>
        <v>1003</v>
      </c>
    </row>
    <row r="21" spans="1:106" x14ac:dyDescent="0.25">
      <c r="A21" s="39" t="s">
        <v>34</v>
      </c>
      <c r="B21" s="44" t="str">
        <f t="shared" si="0"/>
        <v/>
      </c>
      <c r="C21" s="110">
        <v>0</v>
      </c>
      <c r="D21" s="37">
        <v>0</v>
      </c>
      <c r="E21" s="123">
        <f>Poland!E$11</f>
        <v>0</v>
      </c>
      <c r="F21" s="37">
        <f>Poland!F$11</f>
        <v>0</v>
      </c>
      <c r="G21" s="37">
        <f>Poland!G$11</f>
        <v>0</v>
      </c>
      <c r="H21" s="37">
        <f>Poland!H$11</f>
        <v>0</v>
      </c>
      <c r="I21" s="37">
        <f>Poland!I$11</f>
        <v>0</v>
      </c>
      <c r="J21" s="37">
        <f>Poland!J$11</f>
        <v>0</v>
      </c>
      <c r="K21" s="37">
        <f>Poland!K$11</f>
        <v>0</v>
      </c>
      <c r="L21" s="37">
        <f>Poland!L$11</f>
        <v>0</v>
      </c>
      <c r="M21" s="37">
        <f>Poland!M$11</f>
        <v>0</v>
      </c>
      <c r="N21" s="37">
        <f>Poland!N$11</f>
        <v>0</v>
      </c>
      <c r="O21" s="37">
        <f>Poland!O$11</f>
        <v>0</v>
      </c>
      <c r="P21" s="37">
        <f>Poland!P$11</f>
        <v>0</v>
      </c>
      <c r="Q21" s="37">
        <f>Poland!Q$11</f>
        <v>0</v>
      </c>
      <c r="R21" s="37">
        <f>Poland!R$11</f>
        <v>5000</v>
      </c>
      <c r="S21" s="37">
        <f>Poland!S$11</f>
        <v>26000</v>
      </c>
      <c r="T21" s="59">
        <f>Poland!T$11</f>
        <v>10000</v>
      </c>
    </row>
    <row r="22" spans="1:106" x14ac:dyDescent="0.25">
      <c r="A22" s="39" t="s">
        <v>18</v>
      </c>
      <c r="B22" s="44">
        <f t="shared" si="0"/>
        <v>-9.8302072545121938E-2</v>
      </c>
      <c r="C22" s="110">
        <v>-1599.6319999999996</v>
      </c>
      <c r="D22" s="37">
        <v>-2383.0632651794567</v>
      </c>
      <c r="E22" s="123">
        <f>Italy!E$14</f>
        <v>4722.1350000000002</v>
      </c>
      <c r="F22" s="37">
        <f>Italy!F$14</f>
        <v>5236.9367348205433</v>
      </c>
      <c r="G22" s="37">
        <f>Italy!G$14</f>
        <v>7206.095413071529</v>
      </c>
      <c r="H22" s="37">
        <f>Italy!H$14</f>
        <v>8024.2999999999993</v>
      </c>
      <c r="I22" s="37">
        <f>Italy!I$14</f>
        <v>5192.5960628237863</v>
      </c>
      <c r="J22" s="37">
        <f>Italy!J$14</f>
        <v>7615.2</v>
      </c>
      <c r="K22" s="37">
        <f>Italy!K$14</f>
        <v>2624</v>
      </c>
      <c r="L22" s="37">
        <f>Italy!L$14</f>
        <v>8335.43</v>
      </c>
      <c r="M22" s="37">
        <f>Italy!M$14</f>
        <v>10162.19</v>
      </c>
      <c r="N22" s="37">
        <f>Italy!N$14</f>
        <v>14809</v>
      </c>
      <c r="O22" s="37">
        <f>Italy!O$14</f>
        <v>10837</v>
      </c>
      <c r="P22" s="37">
        <f>Italy!P$14</f>
        <v>11344</v>
      </c>
      <c r="Q22" s="37">
        <f>Italy!Q$14</f>
        <v>6429.2799066551888</v>
      </c>
      <c r="R22" s="37">
        <f>Italy!R$14</f>
        <v>14051.587397247065</v>
      </c>
      <c r="S22" s="37">
        <f>Italy!S$14</f>
        <v>8328.0400000000009</v>
      </c>
      <c r="T22" s="59">
        <f>Italy!T$14</f>
        <v>23702.27</v>
      </c>
    </row>
    <row r="23" spans="1:106" x14ac:dyDescent="0.25">
      <c r="A23" s="39" t="s">
        <v>13</v>
      </c>
      <c r="B23" s="44">
        <f t="shared" si="0"/>
        <v>-2.1339683530048389E-2</v>
      </c>
      <c r="C23" s="110">
        <v>-17247.213168592214</v>
      </c>
      <c r="D23" s="37">
        <v>-15756.108771929823</v>
      </c>
      <c r="E23" s="123">
        <f>Austria!E$16+Denmark!E$16+Germany!E$15+Switzerland!E$14+Poland!E$12+Italy!E$15</f>
        <v>52861.097357723578</v>
      </c>
      <c r="F23" s="37">
        <f>Austria!F$16+Denmark!F$16+Germany!F$15+Switzerland!F$14+Poland!F$12+Italy!F$15</f>
        <v>54013.733333333337</v>
      </c>
      <c r="G23" s="37">
        <f>Austria!G$16+Denmark!G$16+Germany!G$15+Switzerland!G$14+Poland!G$12+Italy!G$15</f>
        <v>47032.058333333334</v>
      </c>
      <c r="H23" s="37">
        <f>Austria!H$16+Denmark!H$16+Germany!H$15+Switzerland!H$14+Poland!H$12+Italy!H$15</f>
        <v>40789.449999999997</v>
      </c>
      <c r="I23" s="37">
        <f>Austria!I$16+Denmark!I$16+Germany!I$15+Switzerland!I$14+Poland!I$12+Italy!I$15</f>
        <v>27555.4</v>
      </c>
      <c r="J23" s="37">
        <f>Austria!J$16+Denmark!J$16+Germany!J$15+Switzerland!J$14+Poland!J$12+Italy!J$15</f>
        <v>33669.14</v>
      </c>
      <c r="K23" s="37">
        <f>Austria!K$16+Denmark!K$16+Germany!K$15+Switzerland!K$14+Poland!K$12</f>
        <v>2926</v>
      </c>
      <c r="L23" s="37">
        <f>Austria!L$16+Denmark!L$16+Germany!L$15+Switzerland!L$14+Poland!L$12</f>
        <v>7341.18</v>
      </c>
      <c r="M23" s="37">
        <f>Austria!M$16+Denmark!M$16+Germany!M$15+Switzerland!M$14+Poland!M$12</f>
        <v>9958.06</v>
      </c>
      <c r="N23" s="37">
        <f>Austria!N$16+Denmark!N$16+Germany!N$15+Switzerland!N$14+Poland!N$12</f>
        <v>9437.14</v>
      </c>
      <c r="O23" s="37">
        <f>Austria!O$16+Denmark!O$16+Germany!O$15+Switzerland!O$14+Poland!O$12</f>
        <v>7449.0599999999995</v>
      </c>
      <c r="P23" s="37">
        <f>Austria!P$15+Denmark!P$16+Germany!P$15+Switzerland!P$14</f>
        <v>6429</v>
      </c>
      <c r="Q23" s="37">
        <f>Austria!Q$16+Denmark!Q$16+Germany!Q$15+Switzerland!Q$14</f>
        <v>6342</v>
      </c>
      <c r="R23" s="37">
        <f>Austria!R$16+Denmark!R$16+Germany!R$15+Switzerland!R$14</f>
        <v>5343</v>
      </c>
      <c r="S23" s="37">
        <f>Austria!S$16+Denmark!S$16+Germany!S$15+Switzerland!S$14</f>
        <v>6017</v>
      </c>
      <c r="T23" s="59">
        <f>Austria!T$16+Denmark!T$16+Germany!T$15+Switzerland!T$14</f>
        <v>5457</v>
      </c>
    </row>
    <row r="24" spans="1:106" x14ac:dyDescent="0.25">
      <c r="A24" s="39" t="s">
        <v>19</v>
      </c>
      <c r="B24" s="44">
        <f t="shared" si="0"/>
        <v>-0.37155562218540678</v>
      </c>
      <c r="C24" s="110">
        <v>-36460.899951402076</v>
      </c>
      <c r="D24" s="37">
        <v>-48970.849553244683</v>
      </c>
      <c r="E24" s="123">
        <f>'Czech Republic'!E$8+France!E$19+Italy!E$16+Spain!E$6+Poland!E$13</f>
        <v>52097.810065856065</v>
      </c>
      <c r="F24" s="37">
        <f>'Czech Republic'!F$8+France!F$19+Italy!F$16+Spain!F$6+Poland!F$13</f>
        <v>82899.635838935326</v>
      </c>
      <c r="G24" s="37">
        <f>'Czech Republic'!G$8+France!G$19+Italy!G$16+Spain!G$6+Poland!G$13</f>
        <v>75643.958100685908</v>
      </c>
      <c r="H24" s="37">
        <f>'Czech Republic'!H$8+France!H$19+Italy!H$16+Spain!H$6+Poland!H$13</f>
        <v>88052.194794517956</v>
      </c>
      <c r="I24" s="37">
        <f>'Czech Republic'!I$8+France!I$19+Italy!I$16+Spain!I$6+Poland!I$13</f>
        <v>72538.890233993821</v>
      </c>
      <c r="J24" s="37">
        <f>'Czech Republic'!J$8+France!J$19+Italy!J$16+Spain!J$6+Poland!J$13</f>
        <v>84837.7</v>
      </c>
      <c r="K24" s="37">
        <f>'Czech Republic'!K$8+France!K$19+Italy!K$16+Spain!K$6+Poland!K$13</f>
        <v>49794</v>
      </c>
      <c r="L24" s="37">
        <f>'Czech Republic'!L$8+France!L$19+Italy!L$16+Spain!L$6+Poland!L$13</f>
        <v>77873.229791352569</v>
      </c>
      <c r="M24" s="37">
        <f>'Czech Republic'!M$8+France!M$19+Italy!M$16+Spain!M$6+Poland!M$13</f>
        <v>75851.630731326324</v>
      </c>
      <c r="N24" s="37">
        <f>'Czech Republic'!N$8+France!N$19+Italy!N$16+Spain!N$6+Poland!N$13</f>
        <v>70070.734009554551</v>
      </c>
      <c r="O24" s="37">
        <f>'Czech Republic'!O$8+France!O$19+Italy!O$16+Spain!O$6+Poland!O$13</f>
        <v>73878.208057615455</v>
      </c>
      <c r="P24" s="37">
        <f>'Czech Republic'!P$8+France!P$19+Italy!P$16+Spain!P$6+Poland!P$12+Poland!P$13</f>
        <v>47077.904835374044</v>
      </c>
      <c r="Q24" s="37">
        <f>'Czech Republic'!Q$8+France!Q$19+Italy!Q$16+Spain!Q$6+Poland!Q$12+Poland!Q$13</f>
        <v>55572.975763809452</v>
      </c>
      <c r="R24" s="37">
        <f>'Czech Republic'!R$8+France!R$19+Italy!R$16+Spain!R$6+Poland!R$12+Poland!R$13</f>
        <v>56139.274429112098</v>
      </c>
      <c r="S24" s="37">
        <f>'Czech Republic'!S$8+France!S$19+Italy!S$16+Spain!S$6+Poland!S$12+Poland!S$13</f>
        <v>78326.893772308147</v>
      </c>
      <c r="T24" s="59">
        <f>'Czech Republic'!T$8+France!T$19+Italy!T$16+Spain!T$6+Poland!T$12+Poland!T$13</f>
        <v>66542.926592710137</v>
      </c>
    </row>
    <row r="25" spans="1:106" x14ac:dyDescent="0.25">
      <c r="A25" s="39" t="s">
        <v>133</v>
      </c>
      <c r="B25" s="44">
        <f t="shared" si="0"/>
        <v>-0.27616606676987815</v>
      </c>
      <c r="C25" s="110">
        <v>-38321.360825845128</v>
      </c>
      <c r="D25" s="37">
        <v>-42426.666666666657</v>
      </c>
      <c r="E25" s="123">
        <f>Germany!E$16+Austria!E$17+Poland!E$14</f>
        <v>130801.37601626015</v>
      </c>
      <c r="F25" s="37">
        <f>Germany!F$16+Austria!F$17+Poland!F$14</f>
        <v>180706.33333333334</v>
      </c>
      <c r="G25" s="37">
        <f>Germany!G$16+Austria!G$17+Poland!G$14</f>
        <v>149010.375</v>
      </c>
      <c r="H25" s="37">
        <f>Germany!H$16+Austria!H$17+Poland!H$14</f>
        <v>101634</v>
      </c>
      <c r="I25" s="37">
        <f>Germany!I$16+Austria!I$17+Poland!I$14</f>
        <v>75646</v>
      </c>
      <c r="J25" s="37">
        <f>Germany!J$16+Austria!J$17+Poland!J$14</f>
        <v>71848.38</v>
      </c>
      <c r="K25" s="37">
        <f>Germany!K$16+Austria!K$17</f>
        <v>28554</v>
      </c>
      <c r="L25" s="37">
        <f>Germany!L$16</f>
        <v>44254</v>
      </c>
      <c r="M25" s="37">
        <f>Germany!M$16</f>
        <v>28200</v>
      </c>
      <c r="N25" s="37">
        <f>Germany!N$16</f>
        <v>24718</v>
      </c>
      <c r="O25" s="37">
        <f>Germany!O$16</f>
        <v>12045</v>
      </c>
      <c r="P25" s="37">
        <f>Germany!P$16</f>
        <v>16692</v>
      </c>
      <c r="Q25" s="37">
        <f>Germany!Q$16</f>
        <v>12671</v>
      </c>
      <c r="R25" s="37">
        <f>Germany!R$16</f>
        <v>7452</v>
      </c>
      <c r="S25" s="37">
        <f>Germany!S$16</f>
        <v>10952</v>
      </c>
      <c r="T25" s="59">
        <f>Germany!T$16</f>
        <v>7842</v>
      </c>
    </row>
    <row r="26" spans="1:106" s="4" customFormat="1" ht="13.8" thickBot="1" x14ac:dyDescent="0.3">
      <c r="A26" s="39" t="s">
        <v>122</v>
      </c>
      <c r="B26" s="44">
        <f t="shared" si="0"/>
        <v>-0.52653999594293055</v>
      </c>
      <c r="C26" s="110">
        <v>-7278</v>
      </c>
      <c r="D26" s="37">
        <v>-9533</v>
      </c>
      <c r="E26" s="123">
        <f>France!E$21+France!E$20+Italy!E$17+Switzerland!E$12</f>
        <v>7002</v>
      </c>
      <c r="F26" s="37">
        <f>France!F$21+France!F$20+Italy!F$17+Switzerland!F$12</f>
        <v>14789</v>
      </c>
      <c r="G26" s="37">
        <f>France!G$21+France!G$20+Italy!G$17+Switzerland!G$12</f>
        <v>12607</v>
      </c>
      <c r="H26" s="37">
        <f>France!H$21+France!H$20+Italy!H$17+Switzerland!H$12</f>
        <v>14251</v>
      </c>
      <c r="I26" s="37">
        <f>France!I$21+France!I$20+Italy!I$17+Switzerland!I$12</f>
        <v>11068.2</v>
      </c>
      <c r="J26" s="37">
        <f>France!J$21+France!J$20+Italy!J$17+Switzerland!J$12</f>
        <v>17127</v>
      </c>
      <c r="K26" s="37">
        <f>France!K$21+France!K$20+Italy!K$17+Switzerland!K$12</f>
        <v>2336</v>
      </c>
      <c r="L26" s="37">
        <f>France!L$21+France!L$20+Italy!L$17+Switzerland!L$12</f>
        <v>11515.4</v>
      </c>
      <c r="M26" s="37">
        <f>France!M$21+France!M$20+Italy!M$17+Switzerland!M$12</f>
        <v>13019.5</v>
      </c>
      <c r="N26" s="37">
        <f>France!N$21+France!N$20+Italy!N$17+Switzerland!N$12</f>
        <v>11015</v>
      </c>
      <c r="O26" s="37">
        <f>France!O$21+France!O$20+Italy!O$17+Switzerland!O$12</f>
        <v>16085</v>
      </c>
      <c r="P26" s="37">
        <f>France!P$21+France!P$20+Italy!P$17+Switzerland!P$12</f>
        <v>3482</v>
      </c>
      <c r="Q26" s="37">
        <f>France!Q$21+France!Q$20+Italy!Q$17+Switzerland!Q$12</f>
        <v>10813.886782428579</v>
      </c>
      <c r="R26" s="37">
        <f>France!R$21+France!R$20+Italy!R$17+Switzerland!R$12</f>
        <v>12105.002024925874</v>
      </c>
      <c r="S26" s="37">
        <f>France!S$21+France!S$20+Italy!S$17+Switzerland!S$12</f>
        <v>10828.1</v>
      </c>
      <c r="T26" s="59">
        <f>France!T$21+France!T$20+Italy!T$17+Switzerland!T$12</f>
        <v>1557.9</v>
      </c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</row>
    <row r="27" spans="1:106" x14ac:dyDescent="0.25">
      <c r="A27" s="39" t="s">
        <v>89</v>
      </c>
      <c r="B27" s="44">
        <f t="shared" si="0"/>
        <v>-0.12431125183873944</v>
      </c>
      <c r="C27" s="110">
        <v>-15073</v>
      </c>
      <c r="D27" s="37">
        <v>-20245</v>
      </c>
      <c r="E27" s="123">
        <f>'Czech Republic'!E$9+Germany!E$17+Poland!E$15</f>
        <v>35123</v>
      </c>
      <c r="F27" s="37">
        <f>'Czech Republic'!F$9+Germany!F$17+Poland!F$15</f>
        <v>40109</v>
      </c>
      <c r="G27" s="37">
        <f>'Czech Republic'!G$9+Germany!G$17+Poland!G$15</f>
        <v>65725</v>
      </c>
      <c r="H27" s="37">
        <f>'Czech Republic'!H$9+Germany!H$17+Poland!H$15</f>
        <v>50758</v>
      </c>
      <c r="I27" s="37">
        <f>'Czech Republic'!I$9+Germany!I$17+Poland!I$15</f>
        <v>40185</v>
      </c>
      <c r="J27" s="37">
        <f>'Czech Republic'!J$9+Germany!J$17+Poland!J$15</f>
        <v>125724</v>
      </c>
      <c r="K27" s="37">
        <f>'Czech Republic'!K$9+Germany!K$17+Poland!K$15</f>
        <v>35134</v>
      </c>
      <c r="L27" s="37">
        <f>'Czech Republic'!L$9+Germany!L$17+Poland!L$15</f>
        <v>70724</v>
      </c>
      <c r="M27" s="37">
        <f>'Czech Republic'!M$9+Germany!M$17+Poland!M$15</f>
        <v>71564</v>
      </c>
      <c r="N27" s="37">
        <f>'Czech Republic'!N$9+Germany!N$17+Poland!N$15</f>
        <v>65837</v>
      </c>
      <c r="O27" s="37">
        <f>'Czech Republic'!O$9+Germany!O$17+Poland!O$15</f>
        <v>70099</v>
      </c>
      <c r="P27" s="37">
        <f>'Czech Republic'!P$9+Germany!P$17+Poland!P$15</f>
        <v>51088</v>
      </c>
      <c r="Q27" s="37">
        <f>'Czech Republic'!Q$9+Germany!Q$17+Poland!Q$15</f>
        <v>51020</v>
      </c>
      <c r="R27" s="37">
        <f>'Czech Republic'!R$9+Germany!R$17+Poland!R$15</f>
        <v>20372</v>
      </c>
      <c r="S27" s="37">
        <f>'Czech Republic'!S$9+Germany!S$17+Poland!S$15</f>
        <v>20115</v>
      </c>
      <c r="T27" s="59">
        <f>'Czech Republic'!T$9+Germany!T$17+Poland!T$15</f>
        <v>20229</v>
      </c>
    </row>
    <row r="28" spans="1:106" x14ac:dyDescent="0.25">
      <c r="A28" s="39" t="s">
        <v>21</v>
      </c>
      <c r="B28" s="44" t="str">
        <f t="shared" si="0"/>
        <v/>
      </c>
      <c r="C28" s="110">
        <v>0</v>
      </c>
      <c r="D28" s="37">
        <v>0</v>
      </c>
      <c r="E28" s="123">
        <f>Italy!E$18</f>
        <v>0</v>
      </c>
      <c r="F28" s="37">
        <f>Italy!F$18</f>
        <v>0</v>
      </c>
      <c r="G28" s="37">
        <f>Italy!G$18</f>
        <v>0</v>
      </c>
      <c r="H28" s="37">
        <f>Italy!H$18</f>
        <v>0</v>
      </c>
      <c r="I28" s="37">
        <f>Italy!I$18</f>
        <v>0</v>
      </c>
      <c r="J28" s="37">
        <f>Italy!J$18</f>
        <v>407</v>
      </c>
      <c r="K28" s="37">
        <f>Italy!K$18</f>
        <v>671</v>
      </c>
      <c r="L28" s="37">
        <f>Italy!L$18</f>
        <v>4410.3999999999996</v>
      </c>
      <c r="M28" s="37">
        <f>Italy!M$18</f>
        <v>5295.5</v>
      </c>
      <c r="N28" s="37">
        <f>Italy!N$18</f>
        <v>5820</v>
      </c>
      <c r="O28" s="37">
        <f>Italy!O$18</f>
        <v>3515</v>
      </c>
      <c r="P28" s="37">
        <f>Italy!P$18</f>
        <v>365</v>
      </c>
      <c r="Q28" s="37">
        <f>Italy!Q$18</f>
        <v>4173.2691397213102</v>
      </c>
      <c r="R28" s="37">
        <f>Italy!R$18</f>
        <v>4684.1970273537181</v>
      </c>
      <c r="S28" s="37">
        <f>Italy!S$18</f>
        <v>2353.65</v>
      </c>
      <c r="T28" s="59">
        <f>Italy!T$18</f>
        <v>3581.78</v>
      </c>
    </row>
    <row r="29" spans="1:106" x14ac:dyDescent="0.25">
      <c r="A29" s="39" t="s">
        <v>35</v>
      </c>
      <c r="B29" s="44" t="str">
        <f t="shared" si="0"/>
        <v/>
      </c>
      <c r="C29" s="110">
        <v>0</v>
      </c>
      <c r="D29" s="37">
        <v>0</v>
      </c>
      <c r="E29" s="123">
        <f>'Czech Republic'!E$10+UK!E$9+Poland!E$16+Denmark!E$17</f>
        <v>0</v>
      </c>
      <c r="F29" s="37">
        <f>'Czech Republic'!F$10+UK!F$9+Poland!F$16+Denmark!F$17</f>
        <v>0</v>
      </c>
      <c r="G29" s="37">
        <f>'Czech Republic'!G$10+UK!G$9+Poland!G$16+Denmark!G$17</f>
        <v>0</v>
      </c>
      <c r="H29" s="37">
        <f>'Czech Republic'!H$10+UK!H$9+Poland!H$16+Denmark!H$17</f>
        <v>0</v>
      </c>
      <c r="I29" s="37">
        <f>'Czech Republic'!I$10+UK!I$9+Poland!I$16+Denmark!I$17</f>
        <v>0</v>
      </c>
      <c r="J29" s="37">
        <f>'Czech Republic'!J$10+UK!J$9+Poland!J$16+Denmark!J$17</f>
        <v>12</v>
      </c>
      <c r="K29" s="37">
        <f>'Czech Republic'!K$10+UK!K$9+Poland!K$16+Denmark!K$17</f>
        <v>0</v>
      </c>
      <c r="L29" s="37">
        <f>'Czech Republic'!L$10+UK!L$9+Poland!L$16+Denmark!L$17</f>
        <v>0</v>
      </c>
      <c r="M29" s="37">
        <f>'Czech Republic'!M$10+UK!M$9+Poland!M$16+Denmark!M$17</f>
        <v>25</v>
      </c>
      <c r="N29" s="37">
        <f>'Czech Republic'!N$10+UK!N$9+Poland!N$16+Denmark!N$17</f>
        <v>2</v>
      </c>
      <c r="O29" s="37">
        <f>'Czech Republic'!O$10+UK!O$9+Poland!O$16+Denmark!O$17</f>
        <v>0</v>
      </c>
      <c r="P29" s="37">
        <f>'Czech Republic'!P$10+UK!P$9+Poland!P$16+Denmark!P$17</f>
        <v>8</v>
      </c>
      <c r="Q29" s="37">
        <f>'Czech Republic'!Q$10+UK!Q$9+Poland!Q$16</f>
        <v>0</v>
      </c>
      <c r="R29" s="37">
        <f>'Czech Republic'!R$10+UK!R$9+Poland!R$16</f>
        <v>0</v>
      </c>
      <c r="S29" s="37">
        <f>'Czech Republic'!S$10+UK!S$9+Poland!S$16</f>
        <v>0</v>
      </c>
      <c r="T29" s="59">
        <f>'Czech Republic'!T$10+UK!T$9+Poland!T$16</f>
        <v>1000</v>
      </c>
    </row>
    <row r="30" spans="1:106" x14ac:dyDescent="0.25">
      <c r="A30" s="39" t="s">
        <v>123</v>
      </c>
      <c r="B30" s="44">
        <f t="shared" si="0"/>
        <v>-0.36722766858518635</v>
      </c>
      <c r="C30" s="110">
        <v>-38832.27907573813</v>
      </c>
      <c r="D30" s="37">
        <v>-24752.552631578947</v>
      </c>
      <c r="E30" s="123">
        <f>Austria!E$6+Denmark!E$18+France!E$2+France!E$24+France!E$17+France!E$15+France!E$13+Switzerland!E$17+UK!E$10+Germany!E$19+Netherlands!E$6</f>
        <v>53480.968292682926</v>
      </c>
      <c r="F30" s="37">
        <f>Austria!F$6+Denmark!F$18+France!F$2+France!F$24+France!F$17+France!F$15+France!F$13+Switzerland!F$17+UK!F$10+Germany!F$19+Netherlands!F$6</f>
        <v>84518.5</v>
      </c>
      <c r="G30" s="37">
        <f>Austria!G$6+Denmark!G$18+France!G$2+France!G$24+France!G$17+France!G$15+France!G$13+Switzerland!G$17+UK!G$10+Germany!G$19+Netherlands!G$6</f>
        <v>83393.25</v>
      </c>
      <c r="H30" s="37">
        <f>Austria!H$6+Denmark!H$18+France!H$2+France!H$24+France!H$17+France!H$15+France!H$13+Switzerland!H$17+UK!H$10+Germany!H$19+Netherlands!H$6</f>
        <v>57449.3</v>
      </c>
      <c r="I30" s="37">
        <f>Austria!I$6+Denmark!I$18+France!I$2+France!I$24+France!I$17+France!I$15+France!I$13+Switzerland!I$17+UK!I$10+Germany!I$19+Netherlands!I$6</f>
        <v>60055</v>
      </c>
      <c r="J30" s="37">
        <f>Austria!J$6+Denmark!J$18+France!J$2+France!J$24+France!J$17+France!J$15+France!J$13+Switzerland!J$17+UK!J$10+Germany!J$19+Netherlands!J$6</f>
        <v>72316.86</v>
      </c>
      <c r="K30" s="37">
        <f>Austria!K$6+Denmark!K$18+France!K$2+France!K$24+France!K$17+France!K$15+France!K$13+Switzerland!K$17+UK!K$10+Germany!K$19+Netherlands!K$6</f>
        <v>30787</v>
      </c>
      <c r="L30" s="37">
        <f>Austria!L$6+Denmark!L$18+France!L$2+France!L$24+France!L$17+France!L$15+France!L$13+Switzerland!L$17+UK!L$10+Germany!L$19+Netherlands!L$6</f>
        <v>52207.24</v>
      </c>
      <c r="M30" s="37">
        <f>Austria!M$6+Denmark!M$18+France!M$2+France!M$24+France!M$17+France!M$15+France!M$13+Switzerland!M$17+UK!M$10+Germany!M$19+Netherlands!M$6</f>
        <v>52433.380000000005</v>
      </c>
      <c r="N30" s="37">
        <f>Austria!N$6+Denmark!N$18+France!N$2+France!N$24+France!N$17+France!N$15+France!N$13+Switzerland!N$17+UK!N$10+Germany!N$19+Netherlands!N$6</f>
        <v>55705.599999999999</v>
      </c>
      <c r="O30" s="37">
        <f>Austria!O$6+Denmark!O$18+France!O$2+France!O$24+France!O$17+France!O$15+France!O$13+Switzerland!O$17+UK!O$10+Germany!O$19+Netherlands!O$6</f>
        <v>49079.76</v>
      </c>
      <c r="P30" s="37">
        <f>Austria!P$6+Denmark!P$18+France!P$2+France!P$24+France!P$17+France!P$15+France!P$13+Switzerland!P$17+UK!P$10+Germany!P$19+Netherlands!P$6</f>
        <v>19513.059999999998</v>
      </c>
      <c r="Q30" s="37">
        <f>Austria!Q$6+Denmark!Q$18+France!Q$2+France!Q$24+France!Q$17+France!Q$15+France!Q$13+Switzerland!Q$17+UK!Q$10+Germany!Q$19+Netherlands!Q$6</f>
        <v>23511</v>
      </c>
      <c r="R30" s="37">
        <f>Austria!R$6+Denmark!R$18+France!R$2+France!R$24+France!R$17+France!R$15+France!R$13+Switzerland!R$17+UK!R$10+Germany!R$19+Netherlands!R$6</f>
        <v>15890</v>
      </c>
      <c r="S30" s="37">
        <f>Austria!S$6+Denmark!S$18+France!S$2+France!S$24+France!S$17+France!S$15+France!S$13+Switzerland!S$17+UK!S$10+Germany!S$19+Netherlands!S$6</f>
        <v>20263</v>
      </c>
      <c r="T30" s="59">
        <f>Austria!T$6+Denmark!T$18+France!T$2+France!T$24+France!T$17+France!T$15+France!T$13+Switzerland!T$17+UK!T$10+Germany!T$19+Netherlands!T$6</f>
        <v>1837</v>
      </c>
    </row>
    <row r="31" spans="1:106" ht="13.8" thickBot="1" x14ac:dyDescent="0.3">
      <c r="A31" s="40" t="s">
        <v>6</v>
      </c>
      <c r="B31" s="45">
        <f t="shared" si="0"/>
        <v>0.20229788303787319</v>
      </c>
      <c r="C31" s="111">
        <v>-89815.262361158675</v>
      </c>
      <c r="D31" s="64">
        <v>-102281.04909645094</v>
      </c>
      <c r="E31" s="42">
        <f>Austria!E$2+Austria!E$15+Austria!E$18+Austria!E$19+Austria!E$20+Belgium!E$9+'Czech Republic'!E$11+Denmark!E$3+Denmark!E$15+Denmark!E$12+Denmark!E$19+Germany!E$12+Germany!E$18+Germany!E$20+Italy!E$19+Spain!E$7+Switzerland!E$7+Switzerland!E$13+Switzerland!E$15+Switzerland!E$16+Switzerland!E$18+Netherlands!E$7+UK!E$11+France!E$3+France!E$7+France!E$22+France!E$23+France!E$25+Poland!E$10+Poland!E$17</f>
        <v>265451.43055838009</v>
      </c>
      <c r="F31" s="64">
        <f>Austria!F$2+Austria!F$15+Austria!F$18+Austria!F$19+Austria!F$20+Belgium!F$9+'Czech Republic'!F$11+Denmark!F$3+Denmark!F$15+Denmark!F$12+Denmark!F$19+Germany!F$12+Germany!F$18+Germany!F$20+Italy!F$19+Spain!F$7+Switzerland!F$7+Switzerland!F$13+Switzerland!F$15+Switzerland!F$16+Switzerland!F$18+Netherlands!F$7+UK!F$11+France!F$3+France!F$7+France!F$22+France!F$23+France!F$25+Poland!F$10+Poland!F$17</f>
        <v>220786.74037723328</v>
      </c>
      <c r="G31" s="64">
        <f>Austria!G$2+Austria!G$15+Austria!G$18+Austria!G$19+Austria!G$20+Belgium!G$9+'Czech Republic'!G$11+Denmark!G$3+Denmark!G$15+Denmark!G$12+Denmark!G$19+Germany!G$12+Germany!G$18+Germany!G$20+Italy!G$19+Spain!G$7+Switzerland!G$7+Switzerland!G$13+Switzerland!G$15+Switzerland!G$16+Switzerland!G$18+Netherlands!G$7+UK!G$11+France!G$3+France!G$7+France!G$22+France!G$23+France!G$25+Poland!G$10+Poland!G$17</f>
        <v>207368.17833333334</v>
      </c>
      <c r="H31" s="64">
        <f>Austria!H$2+Austria!H$15+Austria!H$18+Austria!H$19+Austria!H$20+Belgium!H$9+'Czech Republic'!H$11+Denmark!H$3+Denmark!H$15+Denmark!H$12+Denmark!H$19+Germany!H$12+Germany!H$18+Germany!H$20+Italy!H$19+Spain!H$7+Switzerland!H$7+Switzerland!H$13+Switzerland!H$15+Switzerland!H$16+Switzerland!H$18+Netherlands!H$7+UK!H$11+France!H$3+France!H$7+France!H$22+France!H$23+France!H$25+Poland!H$10+Poland!H$17</f>
        <v>253814.1</v>
      </c>
      <c r="I31" s="64">
        <f>Austria!I$2+Austria!I$15+Austria!I$18+Austria!I$19+Austria!I$20+Belgium!I$9+'Czech Republic'!I$11+Denmark!I$3+Denmark!I$15+Denmark!I$12+Denmark!I$19+Germany!I$12+Germany!I$18+Germany!I$20+Italy!I$19+Spain!I$7+Switzerland!I$7+Switzerland!I$13+Switzerland!I$15+Switzerland!I$16+Switzerland!I$18+Netherlands!I$7+UK!I$11+France!I$3+France!I$7+France!I$22+France!I$23+France!I$25+Poland!I$10+Poland!I$17</f>
        <v>122593.39</v>
      </c>
      <c r="J31" s="64">
        <f>Austria!J$2+Austria!J$15+Austria!J$18+Austria!J$19+Austria!J$20+Belgium!J$9+'Czech Republic'!J$11+Denmark!J$3+Denmark!J$15+Denmark!J$12+Denmark!J$19+Germany!J$12+Germany!J$18+Germany!J$20+Italy!J$19+Spain!J$7+Switzerland!J$7+Switzerland!J$13+Switzerland!J$15+Switzerland!J$16+Switzerland!J$18+Netherlands!J$7+UK!J$11+France!J$3+France!J$7+France!J$22+France!J$23+France!J$25+Poland!J$10+Poland!J$17</f>
        <v>258052.52000000002</v>
      </c>
      <c r="K31" s="64">
        <f>Austria!K$2+Austria!K$15+Austria!K$18+Austria!K$19+Austria!K$20+Belgium!K$9+'Czech Republic'!K$11+Denmark!K$3+Denmark!K$15+Denmark!K$12+Denmark!K$19+Germany!K$12+Germany!K$18+Germany!K$20+Italy!K$19+Spain!K$7+Switzerland!K$7+Switzerland!K$13+Switzerland!K$15+Switzerland!K$16+Switzerland!K$18+Netherlands!K$7+UK!K$11+France!K$3+France!K$7+France!K$22+France!K$23+France!K$25+Poland!K$10+Poland!K$17</f>
        <v>80473</v>
      </c>
      <c r="L31" s="64">
        <f>Austria!L$2+Austria!L$15+Austria!L$18+Austria!L$19+Austria!L$20+Belgium!L$9+'Czech Republic'!L$11+Denmark!L$3+Denmark!L$15+Denmark!L$12+Denmark!L$19+Germany!L$12+Germany!L$18+Germany!L$20+Italy!L$19+Spain!L$7+Switzerland!L$7+Switzerland!L$13+Switzerland!L$15+Switzerland!L$16+Switzerland!L$18+Netherlands!L$7+UK!L$11+France!L$3+France!L$7+France!L$22+France!L$23+France!L$25+Poland!L$10+Poland!L$17</f>
        <v>214031.2</v>
      </c>
      <c r="M31" s="64">
        <f>Austria!M$2+Austria!M$15+Austria!M$18+Austria!M$19+Austria!M$20+Belgium!M$9+'Czech Republic'!M$11+Denmark!M$3+Denmark!M$15+Denmark!M$12+Denmark!M$19+Germany!M$12+Germany!M$18+Germany!M$20+Italy!M$19+Spain!M$7+Switzerland!M$7+Switzerland!M$13+Switzerland!M$15+Switzerland!M$16+Switzerland!M$18+Netherlands!M$7+UK!M$11+France!M$3+France!M$7+France!M$22+France!M$23+France!M$25+Poland!M$10+Poland!M$17</f>
        <v>226831.66</v>
      </c>
      <c r="N31" s="64">
        <f>Austria!N$2+Austria!N$15+Austria!N$18+Austria!N$19+Austria!N$20+Belgium!N$9+'Czech Republic'!N$11+Denmark!N$3+Denmark!N$15+Denmark!N$12+Denmark!N$19+Germany!N$12+Germany!N$18+Germany!N$20+Italy!N$19+Spain!N$7+Switzerland!N$7+Switzerland!N$13+Switzerland!N$15+Switzerland!N$16+Switzerland!N$18+Netherlands!N$7+UK!N$11+France!N$3+France!N$7+France!N$22+France!N$23+France!N$25+Poland!N$10+Poland!N$17</f>
        <v>185468.818</v>
      </c>
      <c r="O31" s="64">
        <f>Austria!O$2+Austria!O$15+Austria!O$18+Austria!O$19+Austria!O$20+Belgium!O$9+'Czech Republic'!O$11+Denmark!O$3+Denmark!O$15+Denmark!O$12+Denmark!O$19+Germany!O$12+Germany!O$18+Germany!O$20+Italy!O$19+Spain!O$7+Switzerland!O$7+Switzerland!O$13+Switzerland!O$15+Switzerland!O$16+Switzerland!O$18+Netherlands!O$7+UK!O$11+France!O$3+France!O$7+France!O$22+France!O$23+France!O$25+Poland!O$10+Poland!O$17</f>
        <v>162912.47399999999</v>
      </c>
      <c r="P31" s="64">
        <f>Austria!P$2+Austria!P$15+Austria!P$18+Austria!P$19+Austria!P$20+Belgium!P$9+'Czech Republic'!P$11+Denmark!P$3+Denmark!P$15+Denmark!P$12+Denmark!P$19+Germany!P$12+Germany!P$18+Germany!P$20+Italy!P$19+Spain!P$7+Switzerland!P$7+Switzerland!P$13+Switzerland!P$15+Switzerland!P$16+Switzerland!P$18+Netherlands!P$7+UK!P$11+France!P$3+France!P$7+France!P$22+France!P$23+France!P$25+Poland!P$10+Poland!P$17</f>
        <v>117752.48</v>
      </c>
      <c r="Q31" s="64">
        <f>Austria!Q$2+Austria!Q$15+Austria!Q$18+Austria!Q$19+Austria!Q$20+Belgium!Q$9+'Czech Republic'!Q$11+Denmark!Q$3+Denmark!Q$15+Denmark!Q$12+Denmark!Q$19+Germany!Q$12+Germany!Q$18+Germany!Q$20+Italy!Q$19+Spain!Q$7+Switzerland!Q$7+Switzerland!Q$13+Switzerland!Q$15+Switzerland!Q$16+Switzerland!Q$18+Netherlands!Q$7+UK!Q$11+France!Q$3+France!Q$7+France!Q$22+France!Q$23+France!Q$25+Poland!Q$10+Poland!Q$17</f>
        <v>144728.55821030829</v>
      </c>
      <c r="R31" s="64">
        <f>Austria!R$2+Austria!R$15+Austria!R$18+Austria!R$19+Austria!R$20+Belgium!R$9+'Czech Republic'!R$11+Denmark!R$3+Denmark!R$15+Denmark!R$12+Denmark!R$19+Germany!R$12+Germany!R$18+Germany!R$20+Italy!R$19+Spain!R$7+Switzerland!R$7+Switzerland!R$13+Switzerland!R$15+Switzerland!R$16+Switzerland!R$18+Netherlands!R$7+UK!R$11+France!R$3+France!R$7+France!R$22+France!R$23+France!R$25+Poland!R$10+Poland!R$17</f>
        <v>84146.839533869585</v>
      </c>
      <c r="S31" s="64">
        <f>Austria!S$2+Austria!S$15+Austria!S$18+Austria!S$19+Austria!S$20+Belgium!S$9+'Czech Republic'!S$11+Denmark!S$3+Denmark!S$15+Denmark!S$12+Denmark!S$19+Germany!S$12+Germany!S$18+Germany!S$20+Italy!S$19+Spain!S$7+Switzerland!S$7+Switzerland!S$13+Switzerland!S$15+Switzerland!S$16+Switzerland!S$18+Netherlands!S$7+UK!S$11+France!S$3+France!S$7+France!S$22+France!S$23+France!S$25+Poland!S$10+Poland!S$17</f>
        <v>95057</v>
      </c>
      <c r="T31" s="65">
        <f>Austria!T$2+Austria!T$15+Austria!T$18+Austria!T$19+Austria!T$20+Belgium!T$9+'Czech Republic'!T$11+Denmark!T$3+Denmark!T$15+Denmark!T$12+Denmark!T$19+Germany!T$12+Germany!T$18+Germany!T$20+Italy!T$19+Spain!T$7+Switzerland!T$7+Switzerland!T$13+Switzerland!T$15+Switzerland!T$16+Switzerland!T$18+Netherlands!T$7+UK!T$11+France!T$3+France!T$7+France!T$22+France!T$23+France!T$25+Poland!T$10+Poland!T$17</f>
        <v>58536</v>
      </c>
      <c r="V31" s="3"/>
    </row>
    <row r="32" spans="1:106" ht="13.8" thickBot="1" x14ac:dyDescent="0.3">
      <c r="A32" s="41" t="s">
        <v>92</v>
      </c>
      <c r="B32" s="68">
        <f t="shared" si="0"/>
        <v>3.2382839232447322E-3</v>
      </c>
      <c r="C32" s="115">
        <v>-674616.17809997592</v>
      </c>
      <c r="D32" s="34">
        <v>-737459.8356149958</v>
      </c>
      <c r="E32" s="85">
        <f>SUM(E2:E31)</f>
        <v>1896220.7328609386</v>
      </c>
      <c r="F32" s="34">
        <f>SUM(F2:F31)</f>
        <v>1890100.0522484186</v>
      </c>
      <c r="G32" s="34">
        <f>SUM(G2:G31)</f>
        <v>2172182.7973092971</v>
      </c>
      <c r="H32" s="34">
        <f>SUM(H2:H31)</f>
        <v>1914119.3438462594</v>
      </c>
      <c r="I32" s="34">
        <f t="shared" ref="I32:N32" si="1">SUM(I2:I31)</f>
        <v>1763643.0681697475</v>
      </c>
      <c r="J32" s="34">
        <f t="shared" si="1"/>
        <v>2297629.4400000004</v>
      </c>
      <c r="K32" s="34">
        <f t="shared" si="1"/>
        <v>1173703</v>
      </c>
      <c r="L32" s="43">
        <f t="shared" si="1"/>
        <v>2067522.181893107</v>
      </c>
      <c r="M32" s="43">
        <f t="shared" si="1"/>
        <v>2164750.7412880901</v>
      </c>
      <c r="N32" s="43">
        <f t="shared" si="1"/>
        <v>2109759.9948823964</v>
      </c>
      <c r="O32" s="43">
        <f t="shared" ref="O32:T32" si="2">SUM(O2:O31)</f>
        <v>1978916.2619515972</v>
      </c>
      <c r="P32" s="43">
        <f t="shared" si="2"/>
        <v>1520801.1980709115</v>
      </c>
      <c r="Q32" s="43">
        <f t="shared" si="2"/>
        <v>1899330.3485178344</v>
      </c>
      <c r="R32" s="43">
        <f t="shared" si="2"/>
        <v>1454747.2551453433</v>
      </c>
      <c r="S32" s="43">
        <f t="shared" si="2"/>
        <v>1736189.0092790702</v>
      </c>
      <c r="T32" s="79">
        <f t="shared" si="2"/>
        <v>1439122.6228119342</v>
      </c>
    </row>
    <row r="33" spans="1:20" x14ac:dyDescent="0.25">
      <c r="A33" s="46" t="s">
        <v>148</v>
      </c>
    </row>
    <row r="34" spans="1:20" ht="13.8" thickBot="1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s="46" customFormat="1" ht="13.8" thickBot="1" x14ac:dyDescent="0.3">
      <c r="A35" s="47" t="s">
        <v>91</v>
      </c>
      <c r="B35" s="24" t="s">
        <v>182</v>
      </c>
      <c r="C35" s="125" t="s">
        <v>183</v>
      </c>
      <c r="D35" s="69" t="s">
        <v>178</v>
      </c>
      <c r="E35" s="127">
        <v>45383</v>
      </c>
      <c r="F35" s="101">
        <v>45017</v>
      </c>
      <c r="G35" s="101">
        <v>44652</v>
      </c>
      <c r="H35" s="101">
        <v>44287</v>
      </c>
      <c r="I35" s="101">
        <v>43922</v>
      </c>
      <c r="J35" s="101">
        <v>43556</v>
      </c>
      <c r="K35" s="101">
        <v>43191</v>
      </c>
      <c r="L35" s="25">
        <v>42826</v>
      </c>
      <c r="M35" s="25">
        <v>42461</v>
      </c>
      <c r="N35" s="25">
        <v>42095</v>
      </c>
      <c r="O35" s="25">
        <v>41730</v>
      </c>
      <c r="P35" s="25">
        <v>41365</v>
      </c>
      <c r="Q35" s="25">
        <v>41000</v>
      </c>
      <c r="R35" s="25">
        <v>40634</v>
      </c>
      <c r="S35" s="25">
        <v>40269</v>
      </c>
      <c r="T35" s="26">
        <v>39904</v>
      </c>
    </row>
    <row r="36" spans="1:20" s="46" customFormat="1" x14ac:dyDescent="0.25">
      <c r="A36" s="80" t="s">
        <v>103</v>
      </c>
      <c r="B36" s="81">
        <f t="shared" ref="B36:B44" si="3">IFERROR(((E36-F36)/F36),"")</f>
        <v>-1</v>
      </c>
      <c r="C36" s="110">
        <v>-395.44819314585135</v>
      </c>
      <c r="D36" s="82">
        <v>-7210</v>
      </c>
      <c r="E36" s="97">
        <f>Italy!E$24</f>
        <v>0</v>
      </c>
      <c r="F36" s="82">
        <f>Italy!F$24</f>
        <v>2020</v>
      </c>
      <c r="G36" s="82">
        <f>Italy!G$24</f>
        <v>54.767848781886734</v>
      </c>
      <c r="H36" s="82">
        <f>Italy!H$24</f>
        <v>22320.682140573485</v>
      </c>
      <c r="I36" s="82">
        <f>Italy!I$24</f>
        <v>0</v>
      </c>
      <c r="J36" s="82">
        <f>Italy!J$24</f>
        <v>26829.819830192278</v>
      </c>
      <c r="K36" s="82">
        <f>Italy!K$24</f>
        <v>34021.795290985603</v>
      </c>
      <c r="L36" s="37">
        <f>Italy!L$24</f>
        <v>20538.413424085287</v>
      </c>
      <c r="M36" s="82">
        <f>Italy!M$24</f>
        <v>25154.208800925109</v>
      </c>
      <c r="N36" s="82">
        <f>Italy!N$24</f>
        <v>17792</v>
      </c>
      <c r="O36" s="82">
        <f>Italy!O$24</f>
        <v>26651</v>
      </c>
      <c r="P36" s="82">
        <f>Italy!P$24</f>
        <v>2711.7173071990696</v>
      </c>
      <c r="Q36" s="82">
        <f>Italy!Q$24</f>
        <v>28065.939289488546</v>
      </c>
      <c r="R36" s="82">
        <f>Italy!R$24</f>
        <v>6928</v>
      </c>
      <c r="S36" s="82">
        <f>Italy!S$24</f>
        <v>3959</v>
      </c>
      <c r="T36" s="83">
        <f>Italy!T$24</f>
        <v>3252</v>
      </c>
    </row>
    <row r="37" spans="1:20" s="46" customFormat="1" x14ac:dyDescent="0.25">
      <c r="A37" s="48" t="s">
        <v>38</v>
      </c>
      <c r="B37" s="49">
        <f t="shared" si="3"/>
        <v>-0.56520925410615352</v>
      </c>
      <c r="C37" s="110">
        <v>-67.502256394360558</v>
      </c>
      <c r="D37" s="50">
        <v>-380.7492629503501</v>
      </c>
      <c r="E37" s="126">
        <f>Spain!E$12</f>
        <v>213.29578619857895</v>
      </c>
      <c r="F37" s="50">
        <f>Spain!F$12</f>
        <v>490.57112694540825</v>
      </c>
      <c r="G37" s="50">
        <f>Spain!G$12</f>
        <v>292.33733981268983</v>
      </c>
      <c r="H37" s="50">
        <f>Spain!H$12</f>
        <v>838.63686324640423</v>
      </c>
      <c r="I37" s="50">
        <f>Spain!I$12</f>
        <v>864.41877300086946</v>
      </c>
      <c r="J37" s="50">
        <f>Spain!J$12</f>
        <v>612</v>
      </c>
      <c r="K37" s="50">
        <f>Spain!K$12</f>
        <v>916</v>
      </c>
      <c r="L37" s="37">
        <f>Spain!L$12</f>
        <v>985.78212365534273</v>
      </c>
      <c r="M37" s="50">
        <f>Spain!M$12</f>
        <v>372.69344392608912</v>
      </c>
      <c r="N37" s="50">
        <f>Spain!N$12</f>
        <v>585.49610484238758</v>
      </c>
      <c r="O37" s="50">
        <f>Spain!O$12</f>
        <v>2521.9151000761449</v>
      </c>
      <c r="P37" s="50">
        <f>Spain!P$12</f>
        <v>62.54136214165181</v>
      </c>
      <c r="Q37" s="50">
        <f>Spain!Q$12</f>
        <v>3179.9660753527169</v>
      </c>
      <c r="R37" s="50">
        <f>Spain!R$12</f>
        <v>2263</v>
      </c>
      <c r="S37" s="50">
        <f>Spain!S$12</f>
        <v>1451.426480970579</v>
      </c>
      <c r="T37" s="60">
        <f>Spain!T$12</f>
        <v>894.48632173766396</v>
      </c>
    </row>
    <row r="38" spans="1:20" s="46" customFormat="1" x14ac:dyDescent="0.25">
      <c r="A38" s="48" t="s">
        <v>39</v>
      </c>
      <c r="B38" s="49">
        <f t="shared" si="3"/>
        <v>-0.87082367380432235</v>
      </c>
      <c r="C38" s="110">
        <v>-241.24645454741201</v>
      </c>
      <c r="D38" s="50">
        <v>-871.07564401325658</v>
      </c>
      <c r="E38" s="126">
        <f>Spain!E$13</f>
        <v>118.49765899921053</v>
      </c>
      <c r="F38" s="50">
        <f>Spain!F$13</f>
        <v>917.3326296624125</v>
      </c>
      <c r="G38" s="50">
        <f>Spain!G$13</f>
        <v>405.93657233578261</v>
      </c>
      <c r="H38" s="50">
        <f>Spain!H$13</f>
        <v>2304.6355471354682</v>
      </c>
      <c r="I38" s="50">
        <f>Spain!I$13</f>
        <v>558.84918783799128</v>
      </c>
      <c r="J38" s="50">
        <f>Spain!J$13</f>
        <v>1653</v>
      </c>
      <c r="K38" s="50">
        <f>Spain!K$13</f>
        <v>3346</v>
      </c>
      <c r="L38" s="37">
        <f>Spain!L$13</f>
        <v>1542.2346504176121</v>
      </c>
      <c r="M38" s="50">
        <f>Spain!M$13</f>
        <v>1859.3620256859326</v>
      </c>
      <c r="N38" s="50">
        <f>Spain!N$13</f>
        <v>4275.0406580721483</v>
      </c>
      <c r="O38" s="50">
        <f>Spain!O$13</f>
        <v>3904.7340513738932</v>
      </c>
      <c r="P38" s="50">
        <f>Spain!P$13</f>
        <v>1873.002115138647</v>
      </c>
      <c r="Q38" s="50">
        <f>Spain!Q$13</f>
        <v>4672.4939831291604</v>
      </c>
      <c r="R38" s="50">
        <f>Spain!R$13</f>
        <v>7701</v>
      </c>
      <c r="S38" s="50">
        <f>Spain!S$13</f>
        <v>6311.930972154586</v>
      </c>
      <c r="T38" s="60">
        <f>Spain!T$13</f>
        <v>2045.5221628081351</v>
      </c>
    </row>
    <row r="39" spans="1:20" s="46" customFormat="1" x14ac:dyDescent="0.25">
      <c r="A39" s="48" t="s">
        <v>7</v>
      </c>
      <c r="B39" s="49">
        <f t="shared" si="3"/>
        <v>0.1983371535639338</v>
      </c>
      <c r="C39" s="110">
        <v>-98725.431083643576</v>
      </c>
      <c r="D39" s="50">
        <v>-109863.04102264647</v>
      </c>
      <c r="E39" s="126">
        <f>Belgium!E$15+Denmark!E$24+Italy!E$25+Poland!E$22+Spain!E$14+Switzerland!E$24+Netherlands!E$12+UK!E$16+'Czech Republic'!E$16+France!E$32</f>
        <v>175676.27643504698</v>
      </c>
      <c r="F39" s="50">
        <f>Belgium!F$15+Denmark!F$24+Italy!F$25+Poland!F$22+Spain!F$14+Switzerland!F$24+Netherlands!F$12+UK!F$16+'Czech Republic'!F$16+France!F$32</f>
        <v>146600.04149297561</v>
      </c>
      <c r="G39" s="50">
        <f>Belgium!G$15+Denmark!G$24+Italy!G$25+Poland!G$22+Spain!G$14+Switzerland!G$24+Netherlands!G$12+UK!G$16+'Czech Republic'!G$16+France!G$32</f>
        <v>199752.35452765352</v>
      </c>
      <c r="H39" s="50">
        <f>Belgium!H$15+Denmark!H$24+Italy!H$25+Poland!H$22+Spain!H$14+Switzerland!H$24+Netherlands!H$12+UK!H$16+'Czech Republic'!H$16+France!H$32</f>
        <v>229911.31686960236</v>
      </c>
      <c r="I39" s="50">
        <f>Belgium!I$15+Denmark!I$24+Italy!I$25+Poland!I$22+Spain!I$14+Switzerland!I$24+Netherlands!I$12+UK!I$16+'Czech Republic'!I$16+France!I$32</f>
        <v>174798.65317242671</v>
      </c>
      <c r="J39" s="50">
        <f>Belgium!J$15+Denmark!J$24+Italy!J$25+Poland!J$22+Spain!J$14+Switzerland!J$24+Netherlands!J$12+UK!J$16+'Czech Republic'!J$16+France!J$32</f>
        <v>216625.08289117867</v>
      </c>
      <c r="K39" s="50">
        <f>Belgium!K$15+Denmark!K$24+Italy!K$25+Poland!K$22+Spain!K$14+Switzerland!K$24+Netherlands!K$12+UK!K$16+'Czech Republic'!K$16+France!K$32</f>
        <v>177857.36084712658</v>
      </c>
      <c r="L39" s="37">
        <f>Belgium!L$15+Denmark!L$24+Italy!L$25+Poland!L$22+Spain!L$14+Switzerland!L$24+Netherlands!L$12+UK!L$16+'Czech Republic'!L$16+France!L$32</f>
        <v>188522.34262618254</v>
      </c>
      <c r="M39" s="50">
        <f>Belgium!M$15+Denmark!M$24+Italy!M$25+Poland!M$22+Spain!M$14+Switzerland!M$24+Netherlands!M$12+UK!M$16+'Czech Republic'!M$16+France!M$32</f>
        <v>243065.3263029822</v>
      </c>
      <c r="N39" s="50">
        <f>Belgium!N$15+Denmark!N$24+Italy!N$25+Poland!N$22+Spain!N$14+Switzerland!N$24+Netherlands!N$12+UK!N$16+'Czech Republic'!N$16+France!N$32</f>
        <v>207081.28978692641</v>
      </c>
      <c r="O39" s="50">
        <f>Belgium!O$15+Denmark!O$24+Italy!O$25+Poland!O$22+Spain!O$14+Switzerland!O$24+Netherlands!O$12+UK!O$16+'Czech Republic'!O$16+France!O$32</f>
        <v>187380.32747931607</v>
      </c>
      <c r="P39" s="50">
        <f>Belgium!P$15+Denmark!P$24+Italy!P$25+Poland!P$22+Spain!P$14+Switzerland!P$24+Netherlands!P$12+UK!P$16+'Czech Republic'!P$16+France!P$32</f>
        <v>106440.24930450571</v>
      </c>
      <c r="Q39" s="50">
        <f>Belgium!Q$15+Denmark!Q$24+Italy!Q$25+Poland!Q$22+Spain!Q$14+Switzerland!Q$24+Netherlands!Q$12+UK!Q$16+'Czech Republic'!Q$16+France!Q$32</f>
        <v>208956.27582651182</v>
      </c>
      <c r="R39" s="50">
        <f>Belgium!R$15+Denmark!R$24+Italy!R$25+Poland!R$22+Spain!R$14+Switzerland!R$24+Netherlands!R$12+UK!R$16+'Czech Republic'!R$16</f>
        <v>170876</v>
      </c>
      <c r="S39" s="50">
        <f>Belgium!S$15+Denmark!S$24+Italy!S$25+Poland!S$22+Spain!S$14+Switzerland!S$24+Netherlands!S$12+UK!S$16+'Czech Republic'!S$16+France!S$32</f>
        <v>177950.99484409107</v>
      </c>
      <c r="T39" s="60">
        <f>Belgium!T$15+Denmark!T$24+Italy!T$25+Poland!T$22+Spain!T$14+Switzerland!T$24+Netherlands!T$12+UK!T$16+'Czech Republic'!T$16</f>
        <v>95835.782969568871</v>
      </c>
    </row>
    <row r="40" spans="1:20" s="46" customFormat="1" x14ac:dyDescent="0.25">
      <c r="A40" s="48" t="s">
        <v>93</v>
      </c>
      <c r="B40" s="49">
        <f t="shared" si="3"/>
        <v>0.6</v>
      </c>
      <c r="C40" s="110">
        <v>-225.72922063492101</v>
      </c>
      <c r="D40" s="50">
        <v>-1032</v>
      </c>
      <c r="E40" s="126">
        <f>Belgium!E$16+Italy!E$26+Poland!E$23+Netherlands!E$13+UK!E$17+France!E$33+Denmark!E$25</f>
        <v>16</v>
      </c>
      <c r="F40" s="50">
        <f>Belgium!F$16+Italy!F$26+Poland!F$23+Netherlands!F$13+UK!F$17+France!F$33+Denmark!F$25</f>
        <v>10</v>
      </c>
      <c r="G40" s="50">
        <f>Belgium!G$16+Italy!G$26+Poland!G$23+Netherlands!G$13+UK!G$17+France!G$33+Denmark!G$25</f>
        <v>315.49360592570628</v>
      </c>
      <c r="H40" s="50">
        <f>Belgium!H$16+Italy!H$26+Poland!H$23+Netherlands!H$13+UK!H$17+France!H$33+Denmark!H$25</f>
        <v>260.48235906485559</v>
      </c>
      <c r="I40" s="50">
        <f>Belgium!I$16+Italy!I$26+Poland!I$23+Netherlands!I$13+UK!I$17+France!I$33+Denmark!I$25</f>
        <v>38</v>
      </c>
      <c r="J40" s="50">
        <f>Belgium!J$16+Italy!J$26+Poland!J$23+Netherlands!J$13+UK!J$17+France!J$33+Denmark!J$25</f>
        <v>1467.1694059020606</v>
      </c>
      <c r="K40" s="50">
        <f>Belgium!K$16+Italy!K$26+Poland!K$23+Netherlands!K$13+UK!K$17+France!K$33+Denmark!K$25</f>
        <v>237.76443915123636</v>
      </c>
      <c r="L40" s="37">
        <f>Belgium!L$16+Italy!L$26+Poland!L$23+Netherlands!L$13+UK!L$17+France!L$33+Denmark!L$25</f>
        <v>199.27906092186419</v>
      </c>
      <c r="M40" s="50">
        <f>Belgium!M$16+Italy!M$26+Poland!M$23+Netherlands!M$13+UK!M$17+France!M$33+Denmark!M$25</f>
        <v>878.0559315953858</v>
      </c>
      <c r="N40" s="50">
        <f>Belgium!N$16+Italy!N$26+Poland!N$23+Netherlands!N$13+UK!N$17+France!N$33+Denmark!N$25</f>
        <v>1341</v>
      </c>
      <c r="O40" s="50">
        <f>Belgium!O$16+Italy!O$26+Poland!O$23+Netherlands!O$13+UK!O$17+France!O$33+Denmark!O$25</f>
        <v>949</v>
      </c>
      <c r="P40" s="50">
        <f>Belgium!P$16+Italy!P$26+Poland!P$23+Netherlands!P$13+UK!P$17+France!P$33</f>
        <v>37.688943287102333</v>
      </c>
      <c r="Q40" s="50">
        <f>Belgium!Q$16+Italy!Q$26+Poland!Q$23+Netherlands!Q$13+UK!Q$17+France!Q$33</f>
        <v>5083.4434599084934</v>
      </c>
      <c r="R40" s="50">
        <f>Belgium!R$16+Italy!R$26+Poland!R$23+Netherlands!R$13+UK!R$17</f>
        <v>172</v>
      </c>
      <c r="S40" s="50">
        <f>Belgium!S$16+Italy!S$26+Poland!S$23+Netherlands!S$13+UK!S$17+France!S$33</f>
        <v>4922</v>
      </c>
      <c r="T40" s="60">
        <f>Belgium!T$16+Italy!T$26+Poland!T$23+Netherlands!T$13+UK!T$17</f>
        <v>340</v>
      </c>
    </row>
    <row r="41" spans="1:20" s="46" customFormat="1" x14ac:dyDescent="0.25">
      <c r="A41" s="48" t="s">
        <v>30</v>
      </c>
      <c r="B41" s="49">
        <f t="shared" si="3"/>
        <v>-1</v>
      </c>
      <c r="C41" s="110">
        <v>-601.80252261043927</v>
      </c>
      <c r="D41" s="50">
        <v>-1570</v>
      </c>
      <c r="E41" s="126">
        <f>Italy!E$27</f>
        <v>0</v>
      </c>
      <c r="F41" s="50">
        <f>Italy!F$27</f>
        <v>390</v>
      </c>
      <c r="G41" s="50">
        <f>Italy!G$27</f>
        <v>67.849985351461612</v>
      </c>
      <c r="H41" s="50">
        <f>Italy!H$27</f>
        <v>9357.2753535905285</v>
      </c>
      <c r="I41" s="50">
        <f>Italy!I$27</f>
        <v>0</v>
      </c>
      <c r="J41" s="50">
        <f>Italy!J$27</f>
        <v>3798.4529218193002</v>
      </c>
      <c r="K41" s="50">
        <f>Italy!K$27</f>
        <v>5314.6478051631402</v>
      </c>
      <c r="L41" s="37">
        <f>Italy!L$27</f>
        <v>2996.1253677626109</v>
      </c>
      <c r="M41" s="50">
        <f>Italy!M$27</f>
        <v>8277.0377277709031</v>
      </c>
      <c r="N41" s="50">
        <f>Italy!N$27</f>
        <v>1006</v>
      </c>
      <c r="O41" s="50">
        <f>Italy!O$27</f>
        <v>11342</v>
      </c>
      <c r="P41" s="50">
        <f>Italy!P$27</f>
        <v>2078.8098475820602</v>
      </c>
      <c r="Q41" s="50">
        <f>Italy!Q$27</f>
        <v>8397.915270700918</v>
      </c>
      <c r="R41" s="50">
        <f>Italy!R$27</f>
        <v>1777</v>
      </c>
      <c r="S41" s="50">
        <f>Italy!S$27</f>
        <v>9870</v>
      </c>
      <c r="T41" s="60">
        <f>Italy!T$27</f>
        <v>666</v>
      </c>
    </row>
    <row r="42" spans="1:20" s="46" customFormat="1" x14ac:dyDescent="0.25">
      <c r="A42" s="48" t="s">
        <v>147</v>
      </c>
      <c r="B42" s="49" t="str">
        <f t="shared" si="3"/>
        <v/>
      </c>
      <c r="C42" s="110">
        <v>0</v>
      </c>
      <c r="D42" s="50">
        <v>0</v>
      </c>
      <c r="E42" s="126">
        <f>Portugal!E$13</f>
        <v>0</v>
      </c>
      <c r="F42" s="50">
        <f>Portugal!F$13</f>
        <v>0</v>
      </c>
      <c r="G42" s="50">
        <f>Portugal!G$13</f>
        <v>0</v>
      </c>
      <c r="H42" s="50">
        <f>Portugal!H$13</f>
        <v>0</v>
      </c>
      <c r="I42" s="50">
        <f>Portugal!I$13</f>
        <v>0</v>
      </c>
      <c r="J42" s="50">
        <f>Portugal!J$13</f>
        <v>24870</v>
      </c>
      <c r="K42" s="50">
        <f>Portugal!K$13</f>
        <v>0</v>
      </c>
      <c r="L42" s="37">
        <f>Portugal!L$13</f>
        <v>0</v>
      </c>
      <c r="M42" s="50">
        <f>Portugal!M$13</f>
        <v>0</v>
      </c>
      <c r="N42" s="50">
        <f>Portugal!N$13</f>
        <v>0</v>
      </c>
      <c r="O42" s="50">
        <f>Portugal!O$13</f>
        <v>0</v>
      </c>
      <c r="P42" s="50">
        <f>Portugal!P$13</f>
        <v>0</v>
      </c>
      <c r="Q42" s="50">
        <f>Portugal!Q$13</f>
        <v>0</v>
      </c>
      <c r="R42" s="50">
        <f>Portugal!R$13</f>
        <v>7940</v>
      </c>
      <c r="S42" s="50"/>
      <c r="T42" s="60"/>
    </row>
    <row r="43" spans="1:20" s="46" customFormat="1" ht="13.8" thickBot="1" x14ac:dyDescent="0.3">
      <c r="A43" s="51" t="s">
        <v>6</v>
      </c>
      <c r="B43" s="52">
        <f t="shared" si="3"/>
        <v>4.3471229099753469E-3</v>
      </c>
      <c r="C43" s="111">
        <v>-8388.3932913424032</v>
      </c>
      <c r="D43" s="54">
        <v>-12946.18882143987</v>
      </c>
      <c r="E43" s="53">
        <f>Belgium!E$19+Denmark!E$26+Germany!E$25+Italy!E$28+Poland!E$24+Spain!E$15+Spain!E$16+Switzerland!E$23+Switzerland!E$25+Switzerland!E$26+Switzerland!E$27+Netherlands!E$14+UK!E$18+'Czech Republic'!E$17+'Czech Republic'!E$18+'Czech Republic'!E$19+'Czech Republic'!E$20+France!E$31+France!E$35+France!E$36+France!E$37+France!E$30+Belgium!E$18</f>
        <v>6663.3178462792739</v>
      </c>
      <c r="F43" s="54">
        <f>Belgium!F$19+Denmark!F$26+Germany!F$25+Italy!F$28+Poland!F$24+Spain!F$15+Spain!F$16+Switzerland!F$23+Switzerland!F$25+Switzerland!F$26+Switzerland!F$27+Netherlands!F$14+UK!F$18+'Czech Republic'!F$17+'Czech Republic'!F$18+'Czech Republic'!F$19+'Czech Republic'!F$20+France!F$31+France!F$35+France!F$36+France!F$37+France!F$30+Belgium!F$18</f>
        <v>6634.4769594929585</v>
      </c>
      <c r="G43" s="54">
        <f>Belgium!G$19+Denmark!G$26+Germany!G$25+Italy!G$28+Poland!G$24+Spain!G$15+Spain!G$16+Switzerland!G$23+Switzerland!G$25+Switzerland!G$26+Switzerland!G$27+Netherlands!G$14+UK!G$18+'Czech Republic'!G$17+'Czech Republic'!G$18+'Czech Republic'!G$19+'Czech Republic'!G$20+France!G$31+France!G$35+France!G$36+France!G$37+France!G$30+Belgium!G$18</f>
        <v>5292.2197898153963</v>
      </c>
      <c r="H43" s="54">
        <f>Belgium!H$19+Denmark!H$26+Germany!H$25+Italy!H$28+Poland!H$24+Spain!H$15+Spain!H$16+Switzerland!H$23+Switzerland!H$25+Switzerland!H$26+Switzerland!H$27+Netherlands!H$14+UK!H$18+'Czech Republic'!H$17+'Czech Republic'!H$18+'Czech Republic'!H$19+'Czech Republic'!H$20+France!H$31+France!H$35+France!H$36+France!H$37+France!H$30</f>
        <v>8463.5218948925685</v>
      </c>
      <c r="I43" s="54">
        <f>Belgium!I$19+Denmark!I$26+Germany!I$25+Italy!I$28+Poland!I$24+Spain!I$15+Spain!I$16+Switzerland!I$23+Switzerland!I$25+Switzerland!I$26+Switzerland!I$27+Netherlands!I$14+UK!I$18+'Czech Republic'!I$17+'Czech Republic'!I$18+'Czech Republic'!I$19+'Czech Republic'!I$20+France!I$31+France!I$35+France!I$36+France!I$37+France!I$30</f>
        <v>6411.9107736268306</v>
      </c>
      <c r="J43" s="54">
        <f>Belgium!J$19+Denmark!J$26+Germany!J$25+Italy!J$28+Poland!J$24+Spain!J$15+Spain!J$16+Switzerland!J$23+Switzerland!J$25+Switzerland!J$27+Switzerland!J$26+Netherlands!J$14+UK!J$18+'Czech Republic'!J$17+'Czech Republic'!J$18+'Czech Republic'!J$19+'Czech Republic'!J$20+France!J$31+France!J$35+France!J$36+France!J$37+France!J$30</f>
        <v>10299.716725132457</v>
      </c>
      <c r="K43" s="54">
        <f>Belgium!K$19+Denmark!K$26+Germany!K$25+Italy!K$28+Poland!K$24+Spain!K$15+Spain!K$16+Switzerland!K$23+Switzerland!K$25+Switzerland!K$27+Switzerland!K$26+Netherlands!K$14+UK!K$18+'Czech Republic'!K$17+'Czech Republic'!K$18+'Czech Republic'!K$19+'Czech Republic'!K$20+France!K$31+France!K$35+France!K$36+France!K$37+France!K$30</f>
        <v>3660</v>
      </c>
      <c r="L43" s="37">
        <f>Belgium!L$19+Denmark!L$26+Germany!L$25+Italy!L$28+Poland!L$24+Spain!L$15+Spain!L$16+Switzerland!L$23+Switzerland!L$25+Switzerland!L$27+Switzerland!L$26+Netherlands!L$14+UK!L$18+'Czech Republic'!L$17+'Czech Republic'!L$18+'Czech Republic'!L$19+'Czech Republic'!L$20+France!L$31+France!L$35+France!L$36+France!L$37+France!L$30</f>
        <v>4372.6949393896903</v>
      </c>
      <c r="M43" s="54">
        <f>Belgium!M$19+Denmark!M$26+Germany!M$25+Italy!M$28+Poland!M$24+Spain!M$15+Spain!M$16+Switzerland!M$23+Switzerland!M$25+Switzerland!M$27+Netherlands!M$14+UK!M$18+'Czech Republic'!M$17+'Czech Republic'!M$18+'Czech Republic'!M$19+'Czech Republic'!M$20+France!M$31+France!M$35+France!M$36+France!M$37+France!M$30</f>
        <v>3625.1068843317871</v>
      </c>
      <c r="N43" s="54">
        <f>Belgium!N$19+Denmark!N$26+Germany!N$25+Italy!N$28+Poland!N$24+Spain!N$15+Spain!N$16+Switzerland!N$23+Switzerland!N$25+Switzerland!N$27+Netherlands!N$14+UK!N$18+'Czech Republic'!N$17+'Czech Republic'!N$18+'Czech Republic'!N$19+'Czech Republic'!N$20+France!N$31+France!N$35+France!N$36+France!N$37+France!N$30</f>
        <v>6175.6611415038024</v>
      </c>
      <c r="O43" s="54">
        <f>Belgium!O$19+Denmark!O$26+Germany!O$25+Italy!O$28+Poland!O$24+Spain!O$15+Spain!O$16+Switzerland!O$23+Switzerland!O$25+Switzerland!O$27+Netherlands!O$14+UK!O$18+'Czech Republic'!O$17+'Czech Republic'!O$18+'Czech Republic'!O$19+'Czech Republic'!O$20+France!O$31+France!O$35+France!O$36+France!O$37+France!O$30</f>
        <v>8786.0310100877869</v>
      </c>
      <c r="P43" s="54">
        <f>Belgium!P$19+Denmark!P$26+Germany!P$25+Italy!P$28+Poland!P$24+Spain!P$15+Spain!P$16+Switzerland!P$23+Switzerland!P$25+Switzerland!P$27+Netherlands!P$14+UK!P$18+'Czech Republic'!P$17+'Czech Republic'!P$20+France!P$30+France!P$31+France!P$34+France!P$35+France!P$36+France!P$37</f>
        <v>552.12830671637698</v>
      </c>
      <c r="Q43" s="54">
        <f>Belgium!Q$19+Denmark!Q$26+Germany!Q$25+Italy!Q$28+Poland!Q$24+Spain!Q$15+Spain!Q$16+Switzerland!Q$23+Switzerland!Q$25+Switzerland!Q$27+Netherlands!Q$14+UK!Q$18+'Czech Republic'!Q$17+'Czech Republic'!Q$20+France!Q$30+France!Q$31+France!Q$34+France!Q$35+France!Q$36+France!Q$37</f>
        <v>6676.1442919588608</v>
      </c>
      <c r="R43" s="54">
        <f>Belgium!R$19+Denmark!R$26+Germany!R$25+Italy!R$28+Poland!R$24+Spain!R$15+Spain!R$16+Switzerland!R$23+Switzerland!R$25+Switzerland!R$27+Netherlands!R$14+UK!R$18+'Czech Republic'!R$17+'Czech Republic'!R$20</f>
        <v>1305</v>
      </c>
      <c r="S43" s="54">
        <f>Belgium!S$19+Denmark!S$26+Germany!S$25+Italy!S$28+Poland!S$24+Spain!S$15+Spain!S$16+Switzerland!S$23+Switzerland!S$25+Switzerland!S$27+Netherlands!S$14+UK!S$18+'Czech Republic'!S$17+'Czech Republic'!S$20+France!S$30+France!S$31+France!S$34+France!S$35+France!S$36+France!S$37</f>
        <v>3976.4966621281746</v>
      </c>
      <c r="T43" s="61">
        <f>Belgium!T$19+Denmark!T$26+Germany!T$25+Italy!T$28+Poland!T$24+Spain!T$15+Spain!T$16+Switzerland!T$23+Switzerland!T$25+Switzerland!T$27+Netherlands!T$14+UK!T$18+'Czech Republic'!T$17+'Czech Republic'!T$20</f>
        <v>927.98003496166564</v>
      </c>
    </row>
    <row r="44" spans="1:20" s="46" customFormat="1" ht="13.8" thickBot="1" x14ac:dyDescent="0.3">
      <c r="A44" s="55" t="s">
        <v>92</v>
      </c>
      <c r="B44" s="77">
        <f t="shared" si="3"/>
        <v>0.16315147287959517</v>
      </c>
      <c r="C44" s="115">
        <v>-135588.55302231899</v>
      </c>
      <c r="D44" s="86">
        <v>-155770.05475104993</v>
      </c>
      <c r="E44" s="98">
        <f>SUM(E36:E43)</f>
        <v>182687.38772652403</v>
      </c>
      <c r="F44" s="86">
        <f>SUM(F36:F43)</f>
        <v>157062.42220907638</v>
      </c>
      <c r="G44" s="86">
        <f>SUM(G36:G43)</f>
        <v>206180.95966967643</v>
      </c>
      <c r="H44" s="86">
        <f>SUM(H36:H43)</f>
        <v>273456.55102810566</v>
      </c>
      <c r="I44" s="86">
        <f t="shared" ref="I44:N44" si="4">SUM(I36:I43)</f>
        <v>182671.83190689239</v>
      </c>
      <c r="J44" s="86">
        <f t="shared" si="4"/>
        <v>286155.24177422479</v>
      </c>
      <c r="K44" s="86">
        <f t="shared" si="4"/>
        <v>225353.56838242657</v>
      </c>
      <c r="L44" s="74">
        <f t="shared" si="4"/>
        <v>219156.87219241494</v>
      </c>
      <c r="M44" s="74">
        <f t="shared" si="4"/>
        <v>283231.79111721745</v>
      </c>
      <c r="N44" s="74">
        <f t="shared" si="4"/>
        <v>238256.48769134475</v>
      </c>
      <c r="O44" s="74">
        <f t="shared" ref="O44:T44" si="5">SUM(O36:O43)</f>
        <v>241535.0076408539</v>
      </c>
      <c r="P44" s="74">
        <f t="shared" si="5"/>
        <v>113756.1371865706</v>
      </c>
      <c r="Q44" s="74">
        <f t="shared" si="5"/>
        <v>265032.17819705053</v>
      </c>
      <c r="R44" s="74">
        <f t="shared" si="5"/>
        <v>198962</v>
      </c>
      <c r="S44" s="74">
        <f t="shared" si="5"/>
        <v>208441.84895934441</v>
      </c>
      <c r="T44" s="75">
        <f t="shared" si="5"/>
        <v>103961.77148907635</v>
      </c>
    </row>
    <row r="45" spans="1:20" x14ac:dyDescent="0.25">
      <c r="A45" s="3"/>
    </row>
    <row r="46" spans="1:20" s="46" customFormat="1" x14ac:dyDescent="0.25"/>
    <row r="47" spans="1:20" s="46" customFormat="1" x14ac:dyDescent="0.25"/>
  </sheetData>
  <phoneticPr fontId="2" type="noConversion"/>
  <pageMargins left="0.75" right="0.75" top="1" bottom="1" header="0.5" footer="0.5"/>
  <pageSetup paperSize="9" fitToHeight="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8"/>
  <sheetViews>
    <sheetView zoomScaleNormal="100"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10" width="11.6640625" customWidth="1"/>
    <col min="11" max="11" width="12.109375" customWidth="1"/>
    <col min="12" max="12" width="10.77734375" customWidth="1"/>
    <col min="13" max="22" width="10.109375" bestFit="1" customWidth="1"/>
  </cols>
  <sheetData>
    <row r="1" spans="1:22" ht="13.8" thickBot="1" x14ac:dyDescent="0.3">
      <c r="A1" s="23" t="s">
        <v>24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5">
        <v>40269</v>
      </c>
      <c r="T1" s="25">
        <v>39904</v>
      </c>
      <c r="U1" s="25">
        <v>39539</v>
      </c>
      <c r="V1" s="26">
        <v>39173</v>
      </c>
    </row>
    <row r="2" spans="1:22" x14ac:dyDescent="0.25">
      <c r="A2" s="20" t="s">
        <v>94</v>
      </c>
      <c r="B2" s="27">
        <f t="shared" ref="B2:B21" si="0">IFERROR(((E2-F2)/F2),"")</f>
        <v>-0.7850259451445516</v>
      </c>
      <c r="C2" s="113">
        <v>-67.061403508771932</v>
      </c>
      <c r="D2" s="1">
        <v>-60.28508771929819</v>
      </c>
      <c r="E2" s="91">
        <v>120.83333333333333</v>
      </c>
      <c r="F2" s="1">
        <v>562.08333333333337</v>
      </c>
      <c r="G2" s="1">
        <v>231.25</v>
      </c>
      <c r="H2" s="1">
        <v>206</v>
      </c>
      <c r="I2" s="1">
        <v>380</v>
      </c>
      <c r="J2" s="1">
        <v>496.68</v>
      </c>
      <c r="K2" s="1">
        <v>23</v>
      </c>
      <c r="L2" s="1"/>
      <c r="M2" s="1">
        <v>639</v>
      </c>
      <c r="N2" s="1">
        <v>934.8</v>
      </c>
      <c r="O2" s="1">
        <v>1180</v>
      </c>
      <c r="P2" s="1">
        <v>867.18</v>
      </c>
      <c r="Q2" s="1">
        <v>1530</v>
      </c>
      <c r="R2" s="1">
        <v>1450</v>
      </c>
      <c r="S2" s="1">
        <v>1666</v>
      </c>
      <c r="T2" s="1">
        <v>2979</v>
      </c>
      <c r="U2" s="1">
        <v>2094</v>
      </c>
      <c r="V2" s="29">
        <v>1828</v>
      </c>
    </row>
    <row r="3" spans="1:22" x14ac:dyDescent="0.25">
      <c r="A3" s="20" t="s">
        <v>4</v>
      </c>
      <c r="B3" s="27">
        <f t="shared" si="0"/>
        <v>-1</v>
      </c>
      <c r="C3" s="109">
        <v>0</v>
      </c>
      <c r="D3" s="1">
        <v>-55</v>
      </c>
      <c r="E3" s="91">
        <v>0</v>
      </c>
      <c r="F3" s="1">
        <v>45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/>
      <c r="M3" s="1">
        <v>0</v>
      </c>
      <c r="N3" s="1">
        <v>0</v>
      </c>
      <c r="O3" s="1">
        <v>0</v>
      </c>
      <c r="P3" s="1">
        <v>0</v>
      </c>
      <c r="Q3" s="1">
        <v>3</v>
      </c>
      <c r="R3" s="1">
        <v>0</v>
      </c>
      <c r="S3" s="1">
        <v>0</v>
      </c>
      <c r="T3" s="1">
        <v>4</v>
      </c>
      <c r="U3" s="1">
        <v>0</v>
      </c>
      <c r="V3" s="29">
        <v>0</v>
      </c>
    </row>
    <row r="4" spans="1:22" x14ac:dyDescent="0.25">
      <c r="A4" s="20" t="s">
        <v>11</v>
      </c>
      <c r="B4" s="27">
        <f t="shared" si="0"/>
        <v>-0.46108562296230798</v>
      </c>
      <c r="C4" s="109">
        <v>-1051.1507809157033</v>
      </c>
      <c r="D4" s="1">
        <v>-1502.642543859648</v>
      </c>
      <c r="E4" s="91">
        <v>3552.0071138211383</v>
      </c>
      <c r="F4" s="1">
        <v>6591.041666666667</v>
      </c>
      <c r="G4" s="1">
        <v>4350.625</v>
      </c>
      <c r="H4" s="1">
        <v>2904.15</v>
      </c>
      <c r="I4" s="1">
        <v>3913</v>
      </c>
      <c r="J4" s="1">
        <v>8500.880000000001</v>
      </c>
      <c r="K4" s="1">
        <v>1433</v>
      </c>
      <c r="L4" s="1">
        <v>418.02</v>
      </c>
      <c r="M4" s="1">
        <v>5184.04</v>
      </c>
      <c r="N4" s="1">
        <v>3885.78</v>
      </c>
      <c r="O4" s="1">
        <v>6324.02</v>
      </c>
      <c r="P4" s="1">
        <v>2360</v>
      </c>
      <c r="Q4" s="1">
        <v>4308</v>
      </c>
      <c r="R4" s="1">
        <v>1818</v>
      </c>
      <c r="S4" s="1">
        <v>6496</v>
      </c>
      <c r="T4" s="1">
        <v>3498</v>
      </c>
      <c r="U4" s="1">
        <v>1506</v>
      </c>
      <c r="V4" s="29">
        <v>1023</v>
      </c>
    </row>
    <row r="5" spans="1:22" x14ac:dyDescent="0.25">
      <c r="A5" s="20" t="s">
        <v>2</v>
      </c>
      <c r="B5" s="27">
        <f t="shared" si="0"/>
        <v>-0.62476547842401498</v>
      </c>
      <c r="C5" s="109">
        <v>-771.69448010269571</v>
      </c>
      <c r="D5" s="1">
        <v>-1198.2894736842104</v>
      </c>
      <c r="E5" s="91">
        <v>841.46341463414637</v>
      </c>
      <c r="F5" s="1">
        <v>2242.5</v>
      </c>
      <c r="G5" s="1">
        <v>657.5</v>
      </c>
      <c r="H5" s="1">
        <v>400.4</v>
      </c>
      <c r="I5" s="1">
        <v>135</v>
      </c>
      <c r="J5" s="1">
        <v>2462.4</v>
      </c>
      <c r="K5" s="1">
        <v>0</v>
      </c>
      <c r="L5" s="1"/>
      <c r="M5" s="1">
        <v>676.26</v>
      </c>
      <c r="N5" s="1">
        <v>859.86</v>
      </c>
      <c r="O5" s="1">
        <v>883.3</v>
      </c>
      <c r="P5" s="1">
        <v>236.64</v>
      </c>
      <c r="Q5" s="1">
        <v>1443</v>
      </c>
      <c r="R5" s="1">
        <v>1252</v>
      </c>
      <c r="S5" s="1">
        <v>1234</v>
      </c>
      <c r="T5" s="1">
        <v>827</v>
      </c>
      <c r="U5" s="1">
        <v>1400</v>
      </c>
      <c r="V5" s="29">
        <v>2159</v>
      </c>
    </row>
    <row r="6" spans="1:22" x14ac:dyDescent="0.25">
      <c r="A6" s="20" t="s">
        <v>153</v>
      </c>
      <c r="B6" s="27">
        <f t="shared" si="0"/>
        <v>-0.36607961035863579</v>
      </c>
      <c r="C6" s="109">
        <v>-1474.6790757381259</v>
      </c>
      <c r="D6" s="1">
        <v>-1388.5526315789475</v>
      </c>
      <c r="E6" s="91">
        <v>3079.2682926829266</v>
      </c>
      <c r="F6" s="1">
        <v>4857.5</v>
      </c>
      <c r="G6" s="1">
        <v>2376.25</v>
      </c>
      <c r="H6" s="1">
        <v>7453.2999999999993</v>
      </c>
      <c r="I6" s="1">
        <v>3419</v>
      </c>
      <c r="J6" s="1">
        <v>6673.86</v>
      </c>
      <c r="K6" s="1">
        <v>2416</v>
      </c>
      <c r="L6" s="1">
        <v>1389.24</v>
      </c>
      <c r="M6" s="1">
        <v>4456.38</v>
      </c>
      <c r="N6" s="1">
        <v>3906.6</v>
      </c>
      <c r="O6" s="1">
        <v>2486.7600000000002</v>
      </c>
      <c r="P6" s="1">
        <v>1482.06</v>
      </c>
      <c r="Q6" s="1">
        <v>1441</v>
      </c>
      <c r="R6" s="1"/>
      <c r="S6" s="1"/>
      <c r="T6" s="1"/>
      <c r="U6" s="1"/>
      <c r="V6" s="29"/>
    </row>
    <row r="7" spans="1:22" x14ac:dyDescent="0.25">
      <c r="A7" s="20" t="s">
        <v>12</v>
      </c>
      <c r="B7" s="27">
        <f t="shared" si="0"/>
        <v>-0.16582479434261799</v>
      </c>
      <c r="C7" s="109">
        <v>-233.66495507060336</v>
      </c>
      <c r="D7" s="1">
        <v>-419.21052631578914</v>
      </c>
      <c r="E7" s="91">
        <v>1409.7560975609756</v>
      </c>
      <c r="F7" s="1">
        <v>1690</v>
      </c>
      <c r="G7" s="1">
        <v>1803.75</v>
      </c>
      <c r="H7" s="1">
        <v>430.3</v>
      </c>
      <c r="I7" s="1">
        <v>1382</v>
      </c>
      <c r="J7" s="1">
        <v>2395.36</v>
      </c>
      <c r="K7" s="1">
        <v>666</v>
      </c>
      <c r="L7" s="70">
        <v>44.88</v>
      </c>
      <c r="M7" s="70">
        <v>1757.46</v>
      </c>
      <c r="N7" s="70">
        <v>1504.28</v>
      </c>
      <c r="O7" s="70">
        <v>1584.06</v>
      </c>
      <c r="P7" s="70">
        <v>778.02</v>
      </c>
      <c r="Q7" s="70">
        <v>1987</v>
      </c>
      <c r="R7" s="70">
        <v>205</v>
      </c>
      <c r="S7" s="70">
        <v>1461</v>
      </c>
      <c r="T7" s="70">
        <v>931</v>
      </c>
      <c r="U7" s="1">
        <v>1210</v>
      </c>
      <c r="V7" s="29">
        <v>337</v>
      </c>
    </row>
    <row r="8" spans="1:22" x14ac:dyDescent="0.25">
      <c r="A8" s="20" t="s">
        <v>9</v>
      </c>
      <c r="B8" s="27">
        <f t="shared" si="0"/>
        <v>-0.13988994277850786</v>
      </c>
      <c r="C8" s="109">
        <v>-3548.8839858793326</v>
      </c>
      <c r="D8" s="1">
        <v>-5173.3004385964941</v>
      </c>
      <c r="E8" s="91">
        <v>13751.905487804877</v>
      </c>
      <c r="F8" s="1">
        <v>15988.541666666666</v>
      </c>
      <c r="G8" s="1">
        <v>13556.25</v>
      </c>
      <c r="H8" s="1">
        <v>11275.9</v>
      </c>
      <c r="I8" s="1">
        <v>6988</v>
      </c>
      <c r="J8" s="1">
        <v>12591.1</v>
      </c>
      <c r="K8" s="37">
        <f>4098+480</f>
        <v>4578</v>
      </c>
      <c r="L8" s="1">
        <v>157.82</v>
      </c>
      <c r="M8" s="1">
        <v>10852.96</v>
      </c>
      <c r="N8" s="1">
        <v>8816.02</v>
      </c>
      <c r="O8" s="1">
        <v>11994.02</v>
      </c>
      <c r="P8" s="1">
        <v>4280.66</v>
      </c>
      <c r="Q8" s="1">
        <v>8823</v>
      </c>
      <c r="R8" s="1">
        <v>12415</v>
      </c>
      <c r="S8" s="1">
        <v>7839</v>
      </c>
      <c r="T8" s="1">
        <v>10653</v>
      </c>
      <c r="U8" s="1">
        <v>3148</v>
      </c>
      <c r="V8" s="29">
        <v>3148</v>
      </c>
    </row>
    <row r="9" spans="1:22" x14ac:dyDescent="0.25">
      <c r="A9" s="20" t="s">
        <v>14</v>
      </c>
      <c r="B9" s="27" t="str">
        <f t="shared" si="0"/>
        <v/>
      </c>
      <c r="C9" s="109">
        <v>0</v>
      </c>
      <c r="D9" s="1">
        <v>0</v>
      </c>
      <c r="E9" s="91"/>
      <c r="F9" s="1"/>
      <c r="G9" s="1"/>
      <c r="H9" s="1"/>
      <c r="I9" s="1"/>
      <c r="J9" s="1"/>
      <c r="K9" s="1"/>
      <c r="L9" s="1"/>
      <c r="M9" s="1"/>
      <c r="N9" s="1"/>
      <c r="O9" s="1"/>
      <c r="P9" s="1">
        <v>0</v>
      </c>
      <c r="Q9" s="1">
        <v>0</v>
      </c>
      <c r="R9" s="1">
        <v>0</v>
      </c>
      <c r="S9" s="1">
        <v>169</v>
      </c>
      <c r="T9" s="1">
        <v>10</v>
      </c>
      <c r="U9" s="1">
        <v>0</v>
      </c>
      <c r="V9" s="29">
        <v>57</v>
      </c>
    </row>
    <row r="10" spans="1:22" x14ac:dyDescent="0.25">
      <c r="A10" s="20" t="s">
        <v>3</v>
      </c>
      <c r="B10" s="27">
        <f t="shared" si="0"/>
        <v>9.2267068068170269E-2</v>
      </c>
      <c r="C10" s="109">
        <v>-2516.9806375695334</v>
      </c>
      <c r="D10" s="1">
        <v>-4584.3859649122805</v>
      </c>
      <c r="E10" s="91">
        <v>16533.282520325203</v>
      </c>
      <c r="F10" s="1">
        <v>15136.666666666666</v>
      </c>
      <c r="G10" s="1">
        <v>19288.125</v>
      </c>
      <c r="H10" s="1">
        <v>24036.550000000003</v>
      </c>
      <c r="I10" s="1">
        <v>15128</v>
      </c>
      <c r="J10" s="1">
        <v>17841.5</v>
      </c>
      <c r="K10" s="1">
        <f>13557+354</f>
        <v>13911</v>
      </c>
      <c r="L10" s="1">
        <v>11151.02</v>
      </c>
      <c r="M10" s="1">
        <v>27979.119999999999</v>
      </c>
      <c r="N10" s="1">
        <v>36393.879999999997</v>
      </c>
      <c r="O10" s="1">
        <v>22835.42</v>
      </c>
      <c r="P10" s="1">
        <v>28179.200000000001</v>
      </c>
      <c r="Q10" s="1">
        <v>37219</v>
      </c>
      <c r="R10" s="1">
        <v>30242</v>
      </c>
      <c r="S10" s="1">
        <v>31009</v>
      </c>
      <c r="T10" s="1">
        <v>34408</v>
      </c>
      <c r="U10" s="1">
        <v>29897</v>
      </c>
      <c r="V10" s="29">
        <v>25215</v>
      </c>
    </row>
    <row r="11" spans="1:22" x14ac:dyDescent="0.25">
      <c r="A11" s="20" t="s">
        <v>17</v>
      </c>
      <c r="B11" s="27">
        <f t="shared" si="0"/>
        <v>-0.22311678148380901</v>
      </c>
      <c r="C11" s="109">
        <v>-161.81001283697049</v>
      </c>
      <c r="D11" s="1">
        <v>-231.19517543859655</v>
      </c>
      <c r="E11" s="91">
        <v>332.92682926829269</v>
      </c>
      <c r="F11" s="1">
        <v>428.54166666666669</v>
      </c>
      <c r="G11" s="1">
        <v>202.5</v>
      </c>
      <c r="H11" s="1">
        <v>106.6</v>
      </c>
      <c r="I11" s="1">
        <v>23</v>
      </c>
      <c r="J11" s="1">
        <v>15.24</v>
      </c>
      <c r="K11" s="1">
        <v>9</v>
      </c>
      <c r="L11" s="70"/>
      <c r="M11" s="70">
        <v>16.32</v>
      </c>
      <c r="N11" s="70">
        <v>264.18</v>
      </c>
      <c r="O11" s="70">
        <v>16.32</v>
      </c>
      <c r="P11" s="70">
        <v>8.16</v>
      </c>
      <c r="Q11" s="70">
        <v>16</v>
      </c>
      <c r="R11" s="70">
        <v>35</v>
      </c>
      <c r="S11" s="70">
        <v>10</v>
      </c>
      <c r="T11" s="70">
        <v>0</v>
      </c>
      <c r="U11" s="1">
        <v>0</v>
      </c>
      <c r="V11" s="29">
        <v>0</v>
      </c>
    </row>
    <row r="12" spans="1:22" x14ac:dyDescent="0.25">
      <c r="A12" s="21" t="s">
        <v>10</v>
      </c>
      <c r="B12" s="27">
        <f t="shared" si="0"/>
        <v>-0.56644162371427575</v>
      </c>
      <c r="C12" s="109">
        <v>-504.36751176722282</v>
      </c>
      <c r="D12" s="1">
        <v>-288.45394736842081</v>
      </c>
      <c r="E12" s="91">
        <v>1837.4745934959351</v>
      </c>
      <c r="F12" s="1">
        <v>4238.125</v>
      </c>
      <c r="G12" s="1">
        <v>3389.1666666666665</v>
      </c>
      <c r="H12" s="1">
        <v>4540.45</v>
      </c>
      <c r="I12" s="1">
        <v>4550</v>
      </c>
      <c r="J12" s="1">
        <v>8920.58</v>
      </c>
      <c r="K12" s="1">
        <f>1929+151</f>
        <v>2080</v>
      </c>
      <c r="L12" s="70">
        <v>155.66</v>
      </c>
      <c r="M12" s="70">
        <v>13207.92</v>
      </c>
      <c r="N12" s="70">
        <v>8894.98</v>
      </c>
      <c r="O12" s="70">
        <v>16406.8</v>
      </c>
      <c r="P12" s="70">
        <v>10383.26</v>
      </c>
      <c r="Q12" s="70">
        <v>15814</v>
      </c>
      <c r="R12" s="70">
        <v>16080</v>
      </c>
      <c r="S12" s="70">
        <v>16891</v>
      </c>
      <c r="T12" s="70">
        <v>15028</v>
      </c>
      <c r="U12" s="1">
        <v>12705</v>
      </c>
      <c r="V12" s="29">
        <v>15116</v>
      </c>
    </row>
    <row r="13" spans="1:22" x14ac:dyDescent="0.25">
      <c r="A13" s="21" t="s">
        <v>27</v>
      </c>
      <c r="B13" s="27">
        <f t="shared" si="0"/>
        <v>-0.69051540406915679</v>
      </c>
      <c r="C13" s="109">
        <v>-227.01674154899445</v>
      </c>
      <c r="D13" s="1">
        <v>-409.08991228070181</v>
      </c>
      <c r="E13" s="91">
        <v>980.61483739837388</v>
      </c>
      <c r="F13" s="1">
        <v>3168.5416666666665</v>
      </c>
      <c r="G13" s="1">
        <v>2702.7083333333335</v>
      </c>
      <c r="H13" s="1">
        <v>1613.8500000000001</v>
      </c>
      <c r="I13" s="1">
        <v>3125</v>
      </c>
      <c r="J13" s="1">
        <v>6280.88</v>
      </c>
      <c r="K13" s="1">
        <f>1097+147</f>
        <v>1244</v>
      </c>
      <c r="L13" s="70">
        <v>269.98</v>
      </c>
      <c r="M13" s="70">
        <v>5689.24</v>
      </c>
      <c r="N13" s="70">
        <v>6023.06</v>
      </c>
      <c r="O13" s="70">
        <v>5921.68</v>
      </c>
      <c r="P13" s="70">
        <v>4500.24</v>
      </c>
      <c r="Q13" s="70">
        <v>6774</v>
      </c>
      <c r="R13" s="70">
        <v>6828</v>
      </c>
      <c r="S13" s="70">
        <v>7705</v>
      </c>
      <c r="T13" s="70">
        <v>5666</v>
      </c>
      <c r="U13" s="1">
        <v>5694</v>
      </c>
      <c r="V13" s="29">
        <v>6544</v>
      </c>
    </row>
    <row r="14" spans="1:22" x14ac:dyDescent="0.25">
      <c r="A14" s="20" t="s">
        <v>26</v>
      </c>
      <c r="B14" s="27" t="str">
        <f t="shared" si="0"/>
        <v/>
      </c>
      <c r="C14" s="109">
        <v>0</v>
      </c>
      <c r="D14" s="1">
        <v>0</v>
      </c>
      <c r="E14" s="91">
        <v>0</v>
      </c>
      <c r="F14" s="1">
        <v>0</v>
      </c>
      <c r="G14" s="1">
        <v>0</v>
      </c>
      <c r="H14" s="1">
        <v>0</v>
      </c>
      <c r="I14" s="1">
        <v>8</v>
      </c>
      <c r="J14" s="1"/>
      <c r="K14" s="1">
        <v>0</v>
      </c>
      <c r="L14" s="70"/>
      <c r="M14" s="70">
        <v>2238.9</v>
      </c>
      <c r="N14" s="70">
        <v>1465.74</v>
      </c>
      <c r="O14" s="70">
        <v>2714.22</v>
      </c>
      <c r="P14" s="70">
        <v>2023.68</v>
      </c>
      <c r="Q14" s="70">
        <v>3527</v>
      </c>
      <c r="R14" s="70">
        <v>3849</v>
      </c>
      <c r="S14" s="70">
        <v>4252</v>
      </c>
      <c r="T14" s="70">
        <v>3390</v>
      </c>
      <c r="U14" s="1">
        <v>4186</v>
      </c>
      <c r="V14" s="29">
        <v>3654</v>
      </c>
    </row>
    <row r="15" spans="1:22" x14ac:dyDescent="0.25">
      <c r="A15" s="20" t="s">
        <v>95</v>
      </c>
      <c r="B15" s="27">
        <f t="shared" si="0"/>
        <v>10.219512195121951</v>
      </c>
      <c r="C15" s="109">
        <v>-371.95121951219511</v>
      </c>
      <c r="D15" s="1">
        <v>-90.921052631578945</v>
      </c>
      <c r="E15" s="91">
        <v>28.048780487804876</v>
      </c>
      <c r="F15" s="1">
        <v>2.5</v>
      </c>
      <c r="G15" s="1">
        <v>2.5</v>
      </c>
      <c r="H15" s="1">
        <v>8.4</v>
      </c>
      <c r="I15" s="1">
        <v>0</v>
      </c>
      <c r="J15" s="1"/>
      <c r="K15" s="1">
        <v>0</v>
      </c>
      <c r="L15" s="70"/>
      <c r="M15" s="70">
        <v>0</v>
      </c>
      <c r="N15" s="70">
        <v>0</v>
      </c>
      <c r="O15" s="70">
        <v>0</v>
      </c>
      <c r="P15" s="70">
        <v>0</v>
      </c>
      <c r="Q15" s="70">
        <v>15</v>
      </c>
      <c r="R15" s="70">
        <v>0</v>
      </c>
      <c r="S15" s="70">
        <v>0</v>
      </c>
      <c r="T15" s="70">
        <v>0</v>
      </c>
      <c r="U15" s="1">
        <v>7</v>
      </c>
      <c r="V15" s="29">
        <v>10</v>
      </c>
    </row>
    <row r="16" spans="1:22" x14ac:dyDescent="0.25">
      <c r="A16" s="20" t="s">
        <v>13</v>
      </c>
      <c r="B16" s="27">
        <f t="shared" si="0"/>
        <v>-0.46943727235003913</v>
      </c>
      <c r="C16" s="109">
        <v>-1045.3131685922122</v>
      </c>
      <c r="D16" s="1">
        <v>-793.50877192982534</v>
      </c>
      <c r="E16" s="91">
        <v>2338.8973577235774</v>
      </c>
      <c r="F16" s="1">
        <v>4408.333333333333</v>
      </c>
      <c r="G16" s="1">
        <v>2478.9583333333335</v>
      </c>
      <c r="H16" s="1">
        <v>513.65</v>
      </c>
      <c r="I16" s="1">
        <v>551</v>
      </c>
      <c r="J16" s="1">
        <v>829.14</v>
      </c>
      <c r="K16" s="1">
        <v>405</v>
      </c>
      <c r="L16" s="70">
        <v>60.18</v>
      </c>
      <c r="M16" s="70">
        <v>949.06</v>
      </c>
      <c r="N16" s="70">
        <v>626.14</v>
      </c>
      <c r="O16" s="70">
        <v>1220.06</v>
      </c>
      <c r="P16" s="70">
        <v>862.92</v>
      </c>
      <c r="Q16" s="70">
        <v>1218</v>
      </c>
      <c r="R16" s="70">
        <v>1388</v>
      </c>
      <c r="S16" s="70">
        <v>1279</v>
      </c>
      <c r="T16" s="70">
        <v>1522</v>
      </c>
      <c r="U16" s="1">
        <v>636</v>
      </c>
      <c r="V16" s="29">
        <v>737</v>
      </c>
    </row>
    <row r="17" spans="1:23" x14ac:dyDescent="0.25">
      <c r="A17" s="63" t="s">
        <v>133</v>
      </c>
      <c r="B17" s="27">
        <f t="shared" si="0"/>
        <v>-0.52252233932534664</v>
      </c>
      <c r="C17" s="109">
        <v>-159.36082584510086</v>
      </c>
      <c r="D17" s="1">
        <v>-246.66666666666652</v>
      </c>
      <c r="E17" s="91">
        <v>1670.3760162601625</v>
      </c>
      <c r="F17" s="1">
        <v>3498.3333333333335</v>
      </c>
      <c r="G17" s="1">
        <v>1629.375</v>
      </c>
      <c r="H17" s="1">
        <v>1596</v>
      </c>
      <c r="I17" s="1">
        <v>1697</v>
      </c>
      <c r="J17" s="1">
        <v>1549.38</v>
      </c>
      <c r="K17" s="1">
        <v>322</v>
      </c>
      <c r="L17" s="70"/>
      <c r="M17" s="70"/>
      <c r="N17" s="70"/>
      <c r="O17" s="70"/>
      <c r="P17" s="70"/>
      <c r="Q17" s="70"/>
      <c r="R17" s="70"/>
      <c r="S17" s="70"/>
      <c r="T17" s="70"/>
      <c r="U17" s="1"/>
      <c r="V17" s="29"/>
    </row>
    <row r="18" spans="1:23" x14ac:dyDescent="0.25">
      <c r="A18" s="20" t="s">
        <v>115</v>
      </c>
      <c r="B18" s="27" t="str">
        <f t="shared" si="0"/>
        <v/>
      </c>
      <c r="C18" s="109">
        <v>0</v>
      </c>
      <c r="D18" s="1">
        <v>0</v>
      </c>
      <c r="E18" s="91"/>
      <c r="F18" s="1"/>
      <c r="G18" s="1"/>
      <c r="H18" s="1">
        <v>0</v>
      </c>
      <c r="I18" s="1">
        <v>0</v>
      </c>
      <c r="J18" s="1">
        <v>2.04</v>
      </c>
      <c r="K18" s="1">
        <v>0</v>
      </c>
      <c r="L18" s="1"/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2</v>
      </c>
      <c r="S18" s="1">
        <v>98</v>
      </c>
      <c r="T18" s="1">
        <v>10</v>
      </c>
      <c r="U18" s="1">
        <v>49</v>
      </c>
      <c r="V18" s="29">
        <v>15</v>
      </c>
    </row>
    <row r="19" spans="1:23" x14ac:dyDescent="0.25">
      <c r="A19" s="20" t="s">
        <v>96</v>
      </c>
      <c r="B19" s="27">
        <f t="shared" si="0"/>
        <v>-0.73039520997865748</v>
      </c>
      <c r="C19" s="109">
        <v>-374.0540757381259</v>
      </c>
      <c r="D19" s="1">
        <v>-649.63815789473665</v>
      </c>
      <c r="E19" s="91">
        <v>494.89329268292681</v>
      </c>
      <c r="F19" s="1">
        <v>1835.625</v>
      </c>
      <c r="G19" s="1">
        <v>802.29166666666663</v>
      </c>
      <c r="H19" s="1">
        <v>86.35</v>
      </c>
      <c r="I19" s="1">
        <v>519</v>
      </c>
      <c r="J19" s="1">
        <v>3319.52</v>
      </c>
      <c r="K19" s="1">
        <v>0</v>
      </c>
      <c r="L19" s="1"/>
      <c r="M19" s="1">
        <v>2391.8000000000002</v>
      </c>
      <c r="N19" s="1">
        <v>2222.9</v>
      </c>
      <c r="O19" s="1">
        <v>1999.94</v>
      </c>
      <c r="P19" s="1">
        <v>764.26</v>
      </c>
      <c r="Q19" s="1">
        <v>2443</v>
      </c>
      <c r="R19" s="1">
        <v>1669</v>
      </c>
      <c r="S19" s="1">
        <v>2258</v>
      </c>
      <c r="T19" s="1">
        <v>7</v>
      </c>
      <c r="U19" s="1">
        <v>0</v>
      </c>
      <c r="V19" s="29">
        <v>0</v>
      </c>
    </row>
    <row r="20" spans="1:23" ht="13.8" thickBot="1" x14ac:dyDescent="0.3">
      <c r="A20" s="22" t="s">
        <v>59</v>
      </c>
      <c r="B20" s="28">
        <f t="shared" si="0"/>
        <v>-8.3253040121415173E-3</v>
      </c>
      <c r="C20" s="108">
        <v>-1361.3176615318785</v>
      </c>
      <c r="D20" s="10">
        <v>-1310.3618421052633</v>
      </c>
      <c r="E20" s="94">
        <v>4000.7876016260166</v>
      </c>
      <c r="F20" s="10">
        <v>4034.375</v>
      </c>
      <c r="G20" s="10">
        <v>2306.6666666666665</v>
      </c>
      <c r="H20" s="10">
        <v>2563.35</v>
      </c>
      <c r="I20" s="10">
        <v>1250</v>
      </c>
      <c r="J20" s="10">
        <v>1305.28</v>
      </c>
      <c r="K20" s="10">
        <f>56+35</f>
        <v>91</v>
      </c>
      <c r="L20" s="71">
        <v>205</v>
      </c>
      <c r="M20" s="71">
        <v>277.16000000000003</v>
      </c>
      <c r="N20" s="71">
        <v>380</v>
      </c>
      <c r="O20" s="71">
        <v>1465.4</v>
      </c>
      <c r="P20" s="71">
        <v>203.04</v>
      </c>
      <c r="Q20" s="71">
        <v>271</v>
      </c>
      <c r="R20" s="71">
        <v>1293</v>
      </c>
      <c r="S20" s="71">
        <v>265</v>
      </c>
      <c r="T20" s="71">
        <v>32</v>
      </c>
      <c r="U20" s="10">
        <v>100</v>
      </c>
      <c r="V20" s="31">
        <v>184</v>
      </c>
    </row>
    <row r="21" spans="1:23" ht="13.8" thickBot="1" x14ac:dyDescent="0.3">
      <c r="A21" s="32" t="s">
        <v>23</v>
      </c>
      <c r="B21" s="33">
        <f t="shared" si="0"/>
        <v>-0.25834082344363979</v>
      </c>
      <c r="C21" s="129">
        <v>-13869.306536157455</v>
      </c>
      <c r="D21" s="34">
        <v>-18401.502192982458</v>
      </c>
      <c r="E21" s="85">
        <f t="shared" ref="E21:J21" si="1">SUM(E2:E20)</f>
        <v>50972.53556910569</v>
      </c>
      <c r="F21" s="34">
        <f t="shared" si="1"/>
        <v>68727.708333333328</v>
      </c>
      <c r="G21" s="34">
        <f t="shared" si="1"/>
        <v>55777.916666666664</v>
      </c>
      <c r="H21" s="34">
        <f t="shared" si="1"/>
        <v>57735.249999999993</v>
      </c>
      <c r="I21" s="34">
        <f t="shared" si="1"/>
        <v>43068</v>
      </c>
      <c r="J21" s="34">
        <f t="shared" si="1"/>
        <v>73183.839999999997</v>
      </c>
      <c r="K21" s="34">
        <f t="shared" ref="K21:P21" si="2">SUM(K2:K20)</f>
        <v>27178</v>
      </c>
      <c r="L21" s="34">
        <f t="shared" si="2"/>
        <v>13851.8</v>
      </c>
      <c r="M21" s="34">
        <f t="shared" si="2"/>
        <v>76315.62</v>
      </c>
      <c r="N21" s="34">
        <f t="shared" si="2"/>
        <v>76178.22</v>
      </c>
      <c r="O21" s="34">
        <f t="shared" si="2"/>
        <v>77032</v>
      </c>
      <c r="P21" s="34">
        <f t="shared" si="2"/>
        <v>56929.320000000007</v>
      </c>
      <c r="Q21" s="34">
        <f t="shared" ref="Q21:V21" si="3">SUM(Q2:Q20)</f>
        <v>86832</v>
      </c>
      <c r="R21" s="34">
        <f t="shared" si="3"/>
        <v>78526</v>
      </c>
      <c r="S21" s="34">
        <f t="shared" si="3"/>
        <v>82632</v>
      </c>
      <c r="T21" s="34">
        <f t="shared" si="3"/>
        <v>78965</v>
      </c>
      <c r="U21" s="34">
        <f t="shared" si="3"/>
        <v>62632</v>
      </c>
      <c r="V21" s="35">
        <f t="shared" si="3"/>
        <v>60027</v>
      </c>
    </row>
    <row r="22" spans="1:23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7" spans="1:23" ht="17.399999999999999" x14ac:dyDescent="0.3">
      <c r="U27" s="5"/>
      <c r="V27" s="1"/>
      <c r="W27" s="1"/>
    </row>
    <row r="28" spans="1:23" ht="17.399999999999999" x14ac:dyDescent="0.3">
      <c r="U28" s="5"/>
      <c r="V28" s="1"/>
      <c r="W28" s="1"/>
    </row>
    <row r="29" spans="1:23" ht="17.399999999999999" x14ac:dyDescent="0.3">
      <c r="U29" s="5"/>
      <c r="V29" s="1"/>
      <c r="W29" s="1"/>
    </row>
    <row r="30" spans="1:23" ht="17.399999999999999" x14ac:dyDescent="0.3">
      <c r="U30" s="5"/>
      <c r="V30" s="1"/>
      <c r="W30" s="1"/>
    </row>
    <row r="31" spans="1:23" ht="17.399999999999999" x14ac:dyDescent="0.3">
      <c r="U31" s="5"/>
      <c r="V31" s="1"/>
      <c r="W31" s="1"/>
    </row>
    <row r="32" spans="1:23" ht="17.399999999999999" x14ac:dyDescent="0.3">
      <c r="U32" s="5"/>
      <c r="V32" s="1"/>
      <c r="W32" s="1"/>
    </row>
    <row r="33" spans="21:23" ht="17.399999999999999" x14ac:dyDescent="0.3">
      <c r="U33" s="5"/>
      <c r="V33" s="1"/>
      <c r="W33" s="1"/>
    </row>
    <row r="34" spans="21:23" ht="17.399999999999999" x14ac:dyDescent="0.3">
      <c r="U34" s="5"/>
      <c r="V34" s="1"/>
      <c r="W34" s="1"/>
    </row>
    <row r="35" spans="21:23" ht="17.399999999999999" x14ac:dyDescent="0.3">
      <c r="U35" s="5"/>
      <c r="V35" s="1"/>
      <c r="W35" s="1"/>
    </row>
    <row r="36" spans="21:23" ht="17.399999999999999" x14ac:dyDescent="0.3">
      <c r="U36" s="5"/>
      <c r="V36" s="1"/>
      <c r="W36" s="1"/>
    </row>
    <row r="37" spans="21:23" ht="17.399999999999999" x14ac:dyDescent="0.3">
      <c r="U37" s="6"/>
      <c r="V37" s="1"/>
      <c r="W37" s="1"/>
    </row>
    <row r="38" spans="21:23" ht="18" x14ac:dyDescent="0.35">
      <c r="U38" s="7"/>
      <c r="V38" s="2"/>
      <c r="W38" s="2"/>
    </row>
  </sheetData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8"/>
  <sheetViews>
    <sheetView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10" width="11.6640625" customWidth="1"/>
    <col min="11" max="11" width="11.109375" customWidth="1"/>
    <col min="12" max="12" width="10.77734375" customWidth="1"/>
    <col min="13" max="22" width="10.109375" bestFit="1" customWidth="1"/>
  </cols>
  <sheetData>
    <row r="1" spans="1:22" ht="13.8" thickBot="1" x14ac:dyDescent="0.3">
      <c r="A1" s="23" t="s">
        <v>24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5">
        <v>40269</v>
      </c>
      <c r="T1" s="25">
        <v>39904</v>
      </c>
      <c r="U1" s="25">
        <v>39539</v>
      </c>
      <c r="V1" s="26">
        <v>39173</v>
      </c>
    </row>
    <row r="2" spans="1:22" x14ac:dyDescent="0.25">
      <c r="A2" s="20" t="s">
        <v>4</v>
      </c>
      <c r="B2" s="27">
        <f t="shared" ref="B2:B10" si="0">IFERROR(((E2-F2)/F2),"")</f>
        <v>-0.79095131796256479</v>
      </c>
      <c r="C2" s="109">
        <v>-190.00616649600587</v>
      </c>
      <c r="D2" s="1">
        <v>-641.86978347348975</v>
      </c>
      <c r="E2" s="91">
        <v>213.2568772714304</v>
      </c>
      <c r="F2" s="1">
        <v>1020.1302165265103</v>
      </c>
      <c r="G2" s="1">
        <v>689.34583265970275</v>
      </c>
      <c r="H2" s="1">
        <v>1315</v>
      </c>
      <c r="I2" s="1">
        <v>0</v>
      </c>
      <c r="J2" s="1">
        <v>1705</v>
      </c>
      <c r="K2" s="1">
        <v>0</v>
      </c>
      <c r="L2" s="1">
        <v>0</v>
      </c>
      <c r="M2" s="1">
        <v>1251</v>
      </c>
      <c r="N2" s="1">
        <v>975</v>
      </c>
      <c r="O2" s="1">
        <v>399</v>
      </c>
      <c r="P2" s="1">
        <v>0</v>
      </c>
      <c r="Q2" s="1">
        <v>0</v>
      </c>
      <c r="R2" s="1">
        <v>0</v>
      </c>
      <c r="S2" s="1">
        <v>0</v>
      </c>
      <c r="T2" s="1">
        <v>500</v>
      </c>
      <c r="U2" s="1">
        <v>4800</v>
      </c>
      <c r="V2" s="29">
        <v>1500</v>
      </c>
    </row>
    <row r="3" spans="1:22" x14ac:dyDescent="0.25">
      <c r="A3" s="20" t="s">
        <v>161</v>
      </c>
      <c r="B3" s="27" t="str">
        <f t="shared" si="0"/>
        <v/>
      </c>
      <c r="C3" s="109">
        <v>0</v>
      </c>
      <c r="D3" s="1">
        <v>0</v>
      </c>
      <c r="E3" s="91"/>
      <c r="F3" s="1">
        <v>0</v>
      </c>
      <c r="G3" s="1"/>
      <c r="H3" s="1"/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700</v>
      </c>
      <c r="V3" s="29">
        <v>50</v>
      </c>
    </row>
    <row r="4" spans="1:22" x14ac:dyDescent="0.25">
      <c r="A4" s="20" t="s">
        <v>2</v>
      </c>
      <c r="B4" s="27">
        <f t="shared" si="0"/>
        <v>-1</v>
      </c>
      <c r="C4" s="109">
        <v>-196</v>
      </c>
      <c r="D4" s="1">
        <v>-8.5545975165504728</v>
      </c>
      <c r="E4" s="91">
        <v>0</v>
      </c>
      <c r="F4" s="1">
        <v>68.445402483449527</v>
      </c>
      <c r="G4" s="1">
        <v>229.93453287050812</v>
      </c>
      <c r="H4" s="1">
        <v>0</v>
      </c>
      <c r="I4" s="1">
        <v>57</v>
      </c>
      <c r="J4" s="1">
        <v>937</v>
      </c>
      <c r="K4" s="1">
        <v>4</v>
      </c>
      <c r="L4" s="1">
        <v>2</v>
      </c>
      <c r="M4" s="1">
        <v>422</v>
      </c>
      <c r="N4" s="1">
        <v>1147</v>
      </c>
      <c r="O4" s="1">
        <v>238</v>
      </c>
      <c r="P4" s="1">
        <v>0</v>
      </c>
      <c r="Q4" s="1">
        <v>50</v>
      </c>
      <c r="R4" s="1">
        <v>0</v>
      </c>
      <c r="S4" s="1">
        <v>0</v>
      </c>
      <c r="T4" s="1">
        <v>0</v>
      </c>
      <c r="U4" s="1">
        <v>1500</v>
      </c>
      <c r="V4" s="29">
        <v>0</v>
      </c>
    </row>
    <row r="5" spans="1:22" x14ac:dyDescent="0.25">
      <c r="A5" s="20" t="s">
        <v>101</v>
      </c>
      <c r="B5" s="27" t="str">
        <f t="shared" si="0"/>
        <v/>
      </c>
      <c r="C5" s="109">
        <v>0</v>
      </c>
      <c r="D5" s="1">
        <v>0</v>
      </c>
      <c r="E5" s="91"/>
      <c r="F5" s="1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9">
        <v>400</v>
      </c>
    </row>
    <row r="6" spans="1:22" x14ac:dyDescent="0.25">
      <c r="A6" s="20" t="s">
        <v>3</v>
      </c>
      <c r="B6" s="27">
        <f t="shared" si="0"/>
        <v>4.840034828763871</v>
      </c>
      <c r="C6" s="109">
        <v>-943.88739419906506</v>
      </c>
      <c r="D6" s="1">
        <v>-1110.6337444479859</v>
      </c>
      <c r="E6" s="91">
        <v>7010.1807396966351</v>
      </c>
      <c r="F6" s="1">
        <v>1200.3662555520141</v>
      </c>
      <c r="G6" s="1">
        <v>1440.4812251143305</v>
      </c>
      <c r="H6" s="1">
        <v>3429</v>
      </c>
      <c r="I6" s="1">
        <v>12461</v>
      </c>
      <c r="J6" s="1">
        <v>6474</v>
      </c>
      <c r="K6" s="1">
        <v>4463</v>
      </c>
      <c r="L6" s="1">
        <v>8496</v>
      </c>
      <c r="M6" s="1">
        <v>12271</v>
      </c>
      <c r="N6" s="1">
        <v>10650</v>
      </c>
      <c r="O6" s="1">
        <v>9862</v>
      </c>
      <c r="P6" s="1">
        <v>7133</v>
      </c>
      <c r="Q6" s="1">
        <v>7700</v>
      </c>
      <c r="R6" s="1">
        <v>3557.8108285198987</v>
      </c>
      <c r="S6" s="1">
        <v>13464</v>
      </c>
      <c r="T6" s="1">
        <v>7900</v>
      </c>
      <c r="U6" s="1">
        <v>11800</v>
      </c>
      <c r="V6" s="29">
        <v>11500</v>
      </c>
    </row>
    <row r="7" spans="1:22" x14ac:dyDescent="0.25">
      <c r="A7" s="21" t="s">
        <v>27</v>
      </c>
      <c r="B7" s="27">
        <f t="shared" si="0"/>
        <v>0.20746925229991081</v>
      </c>
      <c r="C7" s="109">
        <v>-8725.2317575616798</v>
      </c>
      <c r="D7" s="1">
        <v>-6128.2483161318924</v>
      </c>
      <c r="E7" s="91">
        <v>25302.218347850521</v>
      </c>
      <c r="F7" s="1">
        <v>20954.751683868108</v>
      </c>
      <c r="G7" s="1">
        <v>54030.09522824399</v>
      </c>
      <c r="H7" s="1">
        <v>22517</v>
      </c>
      <c r="I7" s="1">
        <v>34071</v>
      </c>
      <c r="J7" s="1">
        <v>29222</v>
      </c>
      <c r="K7" s="1">
        <v>1389</v>
      </c>
      <c r="L7" s="70">
        <v>21885</v>
      </c>
      <c r="M7" s="70">
        <v>44000</v>
      </c>
      <c r="N7" s="70">
        <v>55663</v>
      </c>
      <c r="O7" s="70">
        <v>28091</v>
      </c>
      <c r="P7" s="70">
        <v>20800</v>
      </c>
      <c r="Q7" s="70">
        <v>27760</v>
      </c>
      <c r="R7" s="70">
        <v>36832.986024043304</v>
      </c>
      <c r="S7" s="70">
        <v>54892</v>
      </c>
      <c r="T7" s="70">
        <v>89400</v>
      </c>
      <c r="U7" s="1">
        <v>65600</v>
      </c>
      <c r="V7" s="29">
        <v>72600</v>
      </c>
    </row>
    <row r="8" spans="1:22" x14ac:dyDescent="0.25">
      <c r="A8" s="20" t="s">
        <v>26</v>
      </c>
      <c r="B8" s="27">
        <f t="shared" si="0"/>
        <v>-0.17016573546243155</v>
      </c>
      <c r="C8" s="109">
        <v>-1484.8440080361979</v>
      </c>
      <c r="D8" s="1">
        <v>-2552.5503741768998</v>
      </c>
      <c r="E8" s="91">
        <v>6502.1245775660782</v>
      </c>
      <c r="F8" s="1">
        <v>7835.4496258231002</v>
      </c>
      <c r="G8" s="1">
        <v>17444.623634872991</v>
      </c>
      <c r="H8" s="1">
        <v>7785</v>
      </c>
      <c r="I8" s="1">
        <v>24764</v>
      </c>
      <c r="J8" s="1">
        <v>24720</v>
      </c>
      <c r="K8" s="1">
        <v>430</v>
      </c>
      <c r="L8" s="70">
        <v>14892</v>
      </c>
      <c r="M8" s="70">
        <v>18325</v>
      </c>
      <c r="N8" s="70">
        <v>30347</v>
      </c>
      <c r="O8" s="70">
        <v>10717</v>
      </c>
      <c r="P8" s="70">
        <v>13880</v>
      </c>
      <c r="Q8" s="70">
        <v>16100</v>
      </c>
      <c r="R8" s="70">
        <v>9727.7260317689525</v>
      </c>
      <c r="S8" s="70">
        <v>18320</v>
      </c>
      <c r="T8" s="70">
        <v>22100</v>
      </c>
      <c r="U8" s="1">
        <v>26500</v>
      </c>
      <c r="V8" s="29">
        <v>24650</v>
      </c>
    </row>
    <row r="9" spans="1:22" ht="13.8" thickBot="1" x14ac:dyDescent="0.3">
      <c r="A9" s="21" t="s">
        <v>59</v>
      </c>
      <c r="B9" s="27">
        <f t="shared" si="0"/>
        <v>-0.39137107776261937</v>
      </c>
      <c r="C9" s="109">
        <v>-2651</v>
      </c>
      <c r="D9" s="1">
        <v>-3500</v>
      </c>
      <c r="E9" s="91">
        <v>7138</v>
      </c>
      <c r="F9" s="1">
        <v>11728</v>
      </c>
      <c r="G9" s="1">
        <v>11442</v>
      </c>
      <c r="H9" s="1">
        <v>16195</v>
      </c>
      <c r="I9" s="1">
        <v>4855</v>
      </c>
      <c r="J9" s="1">
        <v>10210</v>
      </c>
      <c r="K9" s="1">
        <v>1971</v>
      </c>
      <c r="L9" s="70">
        <v>338</v>
      </c>
      <c r="M9" s="70">
        <v>12109</v>
      </c>
      <c r="N9" s="70">
        <v>4056</v>
      </c>
      <c r="O9" s="70">
        <v>5724</v>
      </c>
      <c r="P9" s="70">
        <v>4143</v>
      </c>
      <c r="Q9" s="70">
        <v>4800</v>
      </c>
      <c r="R9" s="70">
        <v>9188.7322610108295</v>
      </c>
      <c r="S9" s="70">
        <v>6055</v>
      </c>
      <c r="T9" s="70">
        <v>16800</v>
      </c>
      <c r="U9" s="1">
        <v>17200</v>
      </c>
      <c r="V9" s="29">
        <v>1900</v>
      </c>
    </row>
    <row r="10" spans="1:22" ht="13.8" thickBot="1" x14ac:dyDescent="0.3">
      <c r="A10" s="23" t="s">
        <v>23</v>
      </c>
      <c r="B10" s="122">
        <f t="shared" si="0"/>
        <v>7.8459740788471372E-2</v>
      </c>
      <c r="C10" s="115">
        <v>-14190.96932629295</v>
      </c>
      <c r="D10" s="43">
        <v>-13941.856815746818</v>
      </c>
      <c r="E10" s="124">
        <f t="shared" ref="E10:J10" si="1">SUM(E2:E9)</f>
        <v>46165.780542384666</v>
      </c>
      <c r="F10" s="43">
        <f t="shared" si="1"/>
        <v>42807.143184253182</v>
      </c>
      <c r="G10" s="43">
        <f t="shared" si="1"/>
        <v>85276.480453761527</v>
      </c>
      <c r="H10" s="43">
        <f t="shared" si="1"/>
        <v>51241</v>
      </c>
      <c r="I10" s="43">
        <f t="shared" si="1"/>
        <v>76208</v>
      </c>
      <c r="J10" s="43">
        <f t="shared" si="1"/>
        <v>73268</v>
      </c>
      <c r="K10" s="43">
        <f t="shared" ref="K10:P10" si="2">SUM(K2:K9)</f>
        <v>8257</v>
      </c>
      <c r="L10" s="43">
        <f t="shared" si="2"/>
        <v>45613</v>
      </c>
      <c r="M10" s="43">
        <f t="shared" si="2"/>
        <v>88378</v>
      </c>
      <c r="N10" s="43">
        <f t="shared" si="2"/>
        <v>102838</v>
      </c>
      <c r="O10" s="43">
        <f t="shared" si="2"/>
        <v>55031</v>
      </c>
      <c r="P10" s="43">
        <f t="shared" si="2"/>
        <v>45956</v>
      </c>
      <c r="Q10" s="43">
        <f t="shared" ref="Q10:V10" si="3">SUM(Q2:Q9)</f>
        <v>56410</v>
      </c>
      <c r="R10" s="43">
        <f t="shared" si="3"/>
        <v>59307.255145342984</v>
      </c>
      <c r="S10" s="43">
        <f t="shared" si="3"/>
        <v>92731</v>
      </c>
      <c r="T10" s="43">
        <f t="shared" si="3"/>
        <v>136700</v>
      </c>
      <c r="U10" s="43">
        <f t="shared" si="3"/>
        <v>128100</v>
      </c>
      <c r="V10" s="79">
        <f t="shared" si="3"/>
        <v>112600</v>
      </c>
    </row>
    <row r="11" spans="1:22" x14ac:dyDescent="0.25">
      <c r="A11" t="s">
        <v>102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22" x14ac:dyDescent="0.25">
      <c r="A12" t="s">
        <v>160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22" ht="13.8" thickBot="1" x14ac:dyDescent="0.3"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22" ht="13.8" thickBot="1" x14ac:dyDescent="0.3">
      <c r="A14" s="23" t="s">
        <v>25</v>
      </c>
      <c r="B14" s="24" t="s">
        <v>182</v>
      </c>
      <c r="C14" s="125" t="s">
        <v>183</v>
      </c>
      <c r="D14" s="69" t="s">
        <v>178</v>
      </c>
      <c r="E14" s="127">
        <v>45383</v>
      </c>
      <c r="F14" s="101">
        <v>45017</v>
      </c>
      <c r="G14" s="101">
        <v>44652</v>
      </c>
      <c r="H14" s="101">
        <v>44287</v>
      </c>
      <c r="I14" s="101">
        <v>43922</v>
      </c>
      <c r="J14" s="101">
        <v>43556</v>
      </c>
      <c r="K14" s="101">
        <v>43191</v>
      </c>
      <c r="L14" s="25">
        <v>42826</v>
      </c>
      <c r="M14" s="25">
        <v>42461</v>
      </c>
      <c r="N14" s="25">
        <v>42095</v>
      </c>
      <c r="O14" s="25">
        <v>41730</v>
      </c>
      <c r="P14" s="25">
        <v>41365</v>
      </c>
      <c r="Q14" s="25">
        <v>41000</v>
      </c>
      <c r="R14" s="25">
        <v>40634</v>
      </c>
      <c r="S14" s="25">
        <v>40269</v>
      </c>
      <c r="T14" s="25">
        <v>39904</v>
      </c>
      <c r="U14" s="25">
        <v>39539</v>
      </c>
      <c r="V14" s="26">
        <v>39173</v>
      </c>
    </row>
    <row r="15" spans="1:22" x14ac:dyDescent="0.25">
      <c r="A15" s="20" t="s">
        <v>7</v>
      </c>
      <c r="B15" s="27">
        <f t="shared" ref="B15:B20" si="4">IFERROR(((E15-F15)/F15),"")</f>
        <v>0.25166834030600721</v>
      </c>
      <c r="C15" s="109">
        <v>-54384.196871781664</v>
      </c>
      <c r="D15" s="1">
        <v>-64296.299566701404</v>
      </c>
      <c r="E15" s="91">
        <v>36578.380618946801</v>
      </c>
      <c r="F15" s="1">
        <v>29223.7004332986</v>
      </c>
      <c r="G15" s="1">
        <v>78220.542108121823</v>
      </c>
      <c r="H15" s="1">
        <v>90907</v>
      </c>
      <c r="I15" s="1">
        <v>57992</v>
      </c>
      <c r="J15" s="37">
        <v>70000</v>
      </c>
      <c r="K15" s="1">
        <v>40230</v>
      </c>
      <c r="L15" s="1">
        <v>57000</v>
      </c>
      <c r="M15" s="1">
        <v>86049</v>
      </c>
      <c r="N15" s="1">
        <v>65231</v>
      </c>
      <c r="O15" s="1">
        <v>37805</v>
      </c>
      <c r="P15" s="1">
        <v>29495</v>
      </c>
      <c r="Q15" s="1">
        <v>34000</v>
      </c>
      <c r="R15" s="1">
        <v>50300</v>
      </c>
      <c r="S15" s="1">
        <v>44300</v>
      </c>
      <c r="T15" s="1">
        <v>8500</v>
      </c>
      <c r="U15" s="1">
        <v>62800</v>
      </c>
      <c r="V15" s="29">
        <v>66900</v>
      </c>
    </row>
    <row r="16" spans="1:22" x14ac:dyDescent="0.25">
      <c r="A16" s="20" t="s">
        <v>100</v>
      </c>
      <c r="B16" s="27" t="str">
        <f t="shared" si="4"/>
        <v/>
      </c>
      <c r="C16" s="109">
        <v>0</v>
      </c>
      <c r="D16" s="1">
        <v>-347</v>
      </c>
      <c r="E16" s="91"/>
      <c r="F16" s="1">
        <v>0</v>
      </c>
      <c r="G16" s="1">
        <v>0</v>
      </c>
      <c r="H16" s="1">
        <v>75</v>
      </c>
      <c r="I16" s="1">
        <v>0</v>
      </c>
      <c r="J16" s="1">
        <v>247</v>
      </c>
      <c r="K16" s="1">
        <v>0</v>
      </c>
      <c r="L16" s="1">
        <v>25</v>
      </c>
      <c r="M16" s="1">
        <v>282</v>
      </c>
      <c r="N16" s="1">
        <v>641</v>
      </c>
      <c r="O16" s="1">
        <v>330</v>
      </c>
      <c r="P16" s="1">
        <v>0</v>
      </c>
      <c r="Q16" s="1">
        <v>110</v>
      </c>
      <c r="R16" s="1">
        <v>0</v>
      </c>
      <c r="S16" s="1">
        <v>0</v>
      </c>
      <c r="T16" s="1">
        <v>0</v>
      </c>
      <c r="U16" s="1">
        <v>0</v>
      </c>
      <c r="V16" s="29">
        <v>600</v>
      </c>
    </row>
    <row r="17" spans="1:23" x14ac:dyDescent="0.25">
      <c r="A17" s="39" t="s">
        <v>162</v>
      </c>
      <c r="B17" s="27" t="str">
        <f t="shared" si="4"/>
        <v/>
      </c>
      <c r="C17" s="109">
        <v>0</v>
      </c>
      <c r="D17" s="1">
        <v>0</v>
      </c>
      <c r="E17" s="91"/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/>
      <c r="O17" s="1"/>
      <c r="P17" s="1"/>
      <c r="Q17" s="1"/>
      <c r="R17" s="1"/>
      <c r="S17" s="1"/>
      <c r="T17" s="1"/>
      <c r="U17" s="1"/>
      <c r="V17" s="29"/>
    </row>
    <row r="18" spans="1:23" x14ac:dyDescent="0.25">
      <c r="A18" s="39" t="s">
        <v>176</v>
      </c>
      <c r="B18" s="27" t="str">
        <f t="shared" si="4"/>
        <v/>
      </c>
      <c r="C18" s="109">
        <v>0</v>
      </c>
      <c r="D18" s="1">
        <v>-1063</v>
      </c>
      <c r="E18" s="91"/>
      <c r="F18" s="1">
        <v>0</v>
      </c>
      <c r="G18" s="1">
        <v>543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9"/>
    </row>
    <row r="19" spans="1:23" ht="13.8" thickBot="1" x14ac:dyDescent="0.3">
      <c r="A19" s="20" t="s">
        <v>6</v>
      </c>
      <c r="B19" s="27">
        <f t="shared" si="4"/>
        <v>-0.97171590194846014</v>
      </c>
      <c r="C19" s="109">
        <v>-281</v>
      </c>
      <c r="D19" s="1">
        <v>-55</v>
      </c>
      <c r="E19" s="91">
        <v>45</v>
      </c>
      <c r="F19" s="1">
        <v>1591</v>
      </c>
      <c r="G19" s="1">
        <v>0</v>
      </c>
      <c r="H19" s="1">
        <v>446</v>
      </c>
      <c r="I19" s="1">
        <v>208</v>
      </c>
      <c r="J19" s="1">
        <v>850</v>
      </c>
      <c r="K19" s="1">
        <v>64</v>
      </c>
      <c r="L19" s="1">
        <v>0</v>
      </c>
      <c r="M19" s="1">
        <v>0</v>
      </c>
      <c r="N19" s="1">
        <v>840</v>
      </c>
      <c r="O19" s="1">
        <v>0</v>
      </c>
      <c r="P19" s="1">
        <v>0</v>
      </c>
      <c r="Q19" s="1">
        <v>120</v>
      </c>
      <c r="R19" s="1">
        <v>0</v>
      </c>
      <c r="S19" s="1">
        <v>0</v>
      </c>
      <c r="T19" s="1">
        <v>0</v>
      </c>
      <c r="U19" s="1">
        <v>0</v>
      </c>
      <c r="V19" s="29">
        <v>500</v>
      </c>
    </row>
    <row r="20" spans="1:23" ht="13.8" thickBot="1" x14ac:dyDescent="0.3">
      <c r="A20" s="23" t="s">
        <v>23</v>
      </c>
      <c r="B20" s="122">
        <f t="shared" si="4"/>
        <v>0.18850354226943247</v>
      </c>
      <c r="C20" s="115">
        <v>-54665.196871781664</v>
      </c>
      <c r="D20" s="43">
        <v>-65761.299566701404</v>
      </c>
      <c r="E20" s="124">
        <f t="shared" ref="E20:K20" si="5">SUM(E15:E19)</f>
        <v>36623.380618946801</v>
      </c>
      <c r="F20" s="43">
        <f t="shared" si="5"/>
        <v>30814.7004332986</v>
      </c>
      <c r="G20" s="43">
        <f t="shared" si="5"/>
        <v>78763.542108121823</v>
      </c>
      <c r="H20" s="43">
        <f t="shared" si="5"/>
        <v>91428</v>
      </c>
      <c r="I20" s="43">
        <f t="shared" si="5"/>
        <v>58200</v>
      </c>
      <c r="J20" s="43">
        <f t="shared" si="5"/>
        <v>71097</v>
      </c>
      <c r="K20" s="43">
        <f t="shared" si="5"/>
        <v>40294</v>
      </c>
      <c r="L20" s="43">
        <f t="shared" ref="L20:Q20" si="6">SUM(L15:L19)</f>
        <v>57025</v>
      </c>
      <c r="M20" s="43">
        <f t="shared" si="6"/>
        <v>86331</v>
      </c>
      <c r="N20" s="43">
        <f t="shared" si="6"/>
        <v>66712</v>
      </c>
      <c r="O20" s="43">
        <f t="shared" si="6"/>
        <v>38135</v>
      </c>
      <c r="P20" s="43">
        <f t="shared" si="6"/>
        <v>29495</v>
      </c>
      <c r="Q20" s="43">
        <f t="shared" si="6"/>
        <v>34230</v>
      </c>
      <c r="R20" s="43">
        <v>50300</v>
      </c>
      <c r="S20" s="43">
        <f>SUM(S15:S19)</f>
        <v>44300</v>
      </c>
      <c r="T20" s="43">
        <f>SUM(T15:T19)</f>
        <v>8500</v>
      </c>
      <c r="U20" s="43">
        <f>SUM(U15:U19)</f>
        <v>62800</v>
      </c>
      <c r="V20" s="79">
        <f>SUM(V15:V19)</f>
        <v>68000</v>
      </c>
    </row>
    <row r="27" spans="1:23" ht="17.399999999999999" x14ac:dyDescent="0.3">
      <c r="U27" s="5"/>
      <c r="V27" s="1"/>
      <c r="W27" s="1"/>
    </row>
    <row r="28" spans="1:23" ht="17.399999999999999" x14ac:dyDescent="0.3">
      <c r="U28" s="5"/>
      <c r="V28" s="1"/>
      <c r="W28" s="1"/>
    </row>
    <row r="29" spans="1:23" ht="17.399999999999999" x14ac:dyDescent="0.3">
      <c r="U29" s="5"/>
      <c r="V29" s="1"/>
      <c r="W29" s="1"/>
    </row>
    <row r="30" spans="1:23" ht="17.399999999999999" x14ac:dyDescent="0.3">
      <c r="U30" s="5"/>
      <c r="V30" s="1"/>
      <c r="W30" s="1"/>
    </row>
    <row r="31" spans="1:23" ht="17.399999999999999" x14ac:dyDescent="0.3">
      <c r="U31" s="5"/>
      <c r="V31" s="1"/>
      <c r="W31" s="1"/>
    </row>
    <row r="32" spans="1:23" ht="17.399999999999999" x14ac:dyDescent="0.3">
      <c r="U32" s="5"/>
      <c r="V32" s="1"/>
      <c r="W32" s="1"/>
    </row>
    <row r="33" spans="21:23" ht="17.399999999999999" x14ac:dyDescent="0.3">
      <c r="U33" s="5"/>
      <c r="V33" s="1"/>
      <c r="W33" s="1"/>
    </row>
    <row r="34" spans="21:23" ht="17.399999999999999" x14ac:dyDescent="0.3">
      <c r="U34" s="5"/>
      <c r="V34" s="1"/>
      <c r="W34" s="1"/>
    </row>
    <row r="35" spans="21:23" ht="17.399999999999999" x14ac:dyDescent="0.3">
      <c r="U35" s="5"/>
      <c r="V35" s="1"/>
      <c r="W35" s="1"/>
    </row>
    <row r="36" spans="21:23" ht="17.399999999999999" x14ac:dyDescent="0.3">
      <c r="U36" s="5"/>
      <c r="V36" s="1"/>
      <c r="W36" s="1"/>
    </row>
    <row r="37" spans="21:23" ht="17.399999999999999" x14ac:dyDescent="0.3">
      <c r="U37" s="6"/>
      <c r="V37" s="1"/>
      <c r="W37" s="1"/>
    </row>
    <row r="38" spans="21:23" ht="18" x14ac:dyDescent="0.35">
      <c r="U38" s="7"/>
      <c r="V38" s="2"/>
      <c r="W38" s="2"/>
    </row>
  </sheetData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1"/>
  <sheetViews>
    <sheetView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10" width="11.6640625" customWidth="1"/>
    <col min="11" max="11" width="11.77734375" style="73" customWidth="1"/>
    <col min="12" max="12" width="10.6640625" style="73" customWidth="1"/>
    <col min="13" max="22" width="10.109375" bestFit="1" customWidth="1"/>
  </cols>
  <sheetData>
    <row r="1" spans="1:22" ht="13.8" thickBot="1" x14ac:dyDescent="0.3">
      <c r="A1" s="23" t="s">
        <v>24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5">
        <v>40269</v>
      </c>
      <c r="T1" s="25">
        <v>39904</v>
      </c>
      <c r="U1" s="25">
        <v>39539</v>
      </c>
      <c r="V1" s="26">
        <v>39173</v>
      </c>
    </row>
    <row r="2" spans="1:22" x14ac:dyDescent="0.25">
      <c r="A2" s="39" t="s">
        <v>11</v>
      </c>
      <c r="B2" s="27">
        <f t="shared" ref="B2:B12" si="0">IFERROR(((E2-F2)/F2),"")</f>
        <v>-0.53003080082135523</v>
      </c>
      <c r="C2" s="109">
        <v>1023</v>
      </c>
      <c r="D2" s="1">
        <v>-2183</v>
      </c>
      <c r="E2" s="91">
        <v>1831</v>
      </c>
      <c r="F2" s="1">
        <v>3896</v>
      </c>
      <c r="G2" s="1">
        <v>3147</v>
      </c>
      <c r="H2" s="1">
        <v>2087</v>
      </c>
      <c r="I2" s="1">
        <v>1359</v>
      </c>
      <c r="J2" s="1">
        <v>2117</v>
      </c>
      <c r="K2" s="76">
        <v>307</v>
      </c>
      <c r="L2" s="1">
        <v>654</v>
      </c>
      <c r="M2" s="1"/>
      <c r="N2" s="1"/>
      <c r="O2" s="1"/>
      <c r="P2" s="1"/>
      <c r="Q2" s="1"/>
      <c r="R2" s="1"/>
      <c r="S2" s="1"/>
      <c r="T2" s="1"/>
      <c r="U2" s="1"/>
      <c r="V2" s="29"/>
    </row>
    <row r="3" spans="1:22" x14ac:dyDescent="0.25">
      <c r="A3" s="20" t="s">
        <v>9</v>
      </c>
      <c r="B3" s="27">
        <f t="shared" si="0"/>
        <v>-5.1119766309639728E-2</v>
      </c>
      <c r="C3" s="109">
        <v>-1574</v>
      </c>
      <c r="D3" s="1">
        <v>-1140</v>
      </c>
      <c r="E3" s="91">
        <v>1949</v>
      </c>
      <c r="F3" s="1">
        <v>2054</v>
      </c>
      <c r="G3" s="1">
        <v>2002</v>
      </c>
      <c r="H3" s="1">
        <v>1196</v>
      </c>
      <c r="I3" s="1">
        <v>710</v>
      </c>
      <c r="J3" s="1">
        <v>1131</v>
      </c>
      <c r="K3" s="76">
        <v>1127</v>
      </c>
      <c r="L3" s="1">
        <v>597</v>
      </c>
      <c r="M3" s="1">
        <v>1908</v>
      </c>
      <c r="N3" s="1">
        <v>483</v>
      </c>
      <c r="O3" s="1">
        <v>431</v>
      </c>
      <c r="P3" s="1">
        <v>35</v>
      </c>
      <c r="Q3" s="1">
        <v>47</v>
      </c>
      <c r="R3" s="1">
        <v>20</v>
      </c>
      <c r="S3" s="1">
        <v>7</v>
      </c>
      <c r="T3" s="1">
        <v>16</v>
      </c>
      <c r="U3" s="1">
        <v>49</v>
      </c>
      <c r="V3" s="29">
        <v>41</v>
      </c>
    </row>
    <row r="4" spans="1:22" x14ac:dyDescent="0.25">
      <c r="A4" s="20" t="s">
        <v>14</v>
      </c>
      <c r="B4" s="27">
        <f t="shared" si="0"/>
        <v>-0.98765432098765427</v>
      </c>
      <c r="C4" s="109">
        <v>65</v>
      </c>
      <c r="D4" s="1">
        <v>-54</v>
      </c>
      <c r="E4" s="91">
        <v>1</v>
      </c>
      <c r="F4" s="1">
        <v>81</v>
      </c>
      <c r="G4" s="1">
        <v>94</v>
      </c>
      <c r="H4" s="1">
        <v>95</v>
      </c>
      <c r="I4" s="1">
        <v>106</v>
      </c>
      <c r="J4" s="1">
        <v>767</v>
      </c>
      <c r="K4" s="76">
        <v>296</v>
      </c>
      <c r="L4" s="1">
        <v>93</v>
      </c>
      <c r="M4" s="1">
        <v>399</v>
      </c>
      <c r="N4" s="1">
        <v>343</v>
      </c>
      <c r="O4" s="1">
        <v>44</v>
      </c>
      <c r="P4" s="1">
        <v>312</v>
      </c>
      <c r="Q4" s="1">
        <v>166</v>
      </c>
      <c r="R4" s="1">
        <v>119</v>
      </c>
      <c r="S4" s="1">
        <v>371</v>
      </c>
      <c r="T4" s="1">
        <v>659</v>
      </c>
      <c r="U4" s="1">
        <v>311</v>
      </c>
      <c r="V4" s="29">
        <v>495</v>
      </c>
    </row>
    <row r="5" spans="1:22" x14ac:dyDescent="0.25">
      <c r="A5" s="20" t="s">
        <v>3</v>
      </c>
      <c r="B5" s="27">
        <f t="shared" si="0"/>
        <v>6.714413607878246E-2</v>
      </c>
      <c r="C5" s="109">
        <v>-2699</v>
      </c>
      <c r="D5" s="1">
        <v>-3133</v>
      </c>
      <c r="E5" s="91">
        <v>5960</v>
      </c>
      <c r="F5" s="1">
        <v>5585</v>
      </c>
      <c r="G5" s="1">
        <v>4774</v>
      </c>
      <c r="H5" s="1">
        <v>7836</v>
      </c>
      <c r="I5" s="1">
        <v>6626</v>
      </c>
      <c r="J5" s="1">
        <v>8515</v>
      </c>
      <c r="K5" s="76">
        <v>6095</v>
      </c>
      <c r="L5" s="1">
        <v>4897</v>
      </c>
      <c r="M5" s="1">
        <v>6623</v>
      </c>
      <c r="N5" s="1">
        <v>5750</v>
      </c>
      <c r="O5" s="1">
        <v>5170</v>
      </c>
      <c r="P5" s="1">
        <v>2620</v>
      </c>
      <c r="Q5" s="1">
        <v>3130</v>
      </c>
      <c r="R5" s="1">
        <v>2053</v>
      </c>
      <c r="S5" s="1">
        <v>3833</v>
      </c>
      <c r="T5" s="1">
        <v>3601</v>
      </c>
      <c r="U5" s="1">
        <v>587</v>
      </c>
      <c r="V5" s="29">
        <v>1619</v>
      </c>
    </row>
    <row r="6" spans="1:22" x14ac:dyDescent="0.25">
      <c r="A6" s="20" t="s">
        <v>10</v>
      </c>
      <c r="B6" s="27">
        <f t="shared" si="0"/>
        <v>-0.54109589041095896</v>
      </c>
      <c r="C6" s="109">
        <v>481</v>
      </c>
      <c r="D6" s="1">
        <v>255</v>
      </c>
      <c r="E6" s="91">
        <v>1005</v>
      </c>
      <c r="F6" s="1">
        <v>2190</v>
      </c>
      <c r="G6" s="1">
        <v>3880</v>
      </c>
      <c r="H6" s="1">
        <v>2792</v>
      </c>
      <c r="I6" s="1">
        <v>1299</v>
      </c>
      <c r="J6" s="1">
        <v>6246</v>
      </c>
      <c r="K6" s="76">
        <v>2819</v>
      </c>
      <c r="L6" s="1">
        <v>1882</v>
      </c>
      <c r="M6" s="1">
        <v>5614</v>
      </c>
      <c r="N6" s="1">
        <v>3418</v>
      </c>
      <c r="O6" s="1">
        <v>4902</v>
      </c>
      <c r="P6" s="1">
        <v>5295</v>
      </c>
      <c r="Q6" s="1">
        <v>1549</v>
      </c>
      <c r="R6" s="1">
        <v>3423</v>
      </c>
      <c r="S6" s="1">
        <v>9399</v>
      </c>
      <c r="T6" s="1">
        <v>9943</v>
      </c>
      <c r="U6" s="1">
        <v>3697</v>
      </c>
      <c r="V6" s="29">
        <v>9035</v>
      </c>
    </row>
    <row r="7" spans="1:22" x14ac:dyDescent="0.25">
      <c r="A7" s="20" t="s">
        <v>27</v>
      </c>
      <c r="B7" s="27">
        <f t="shared" si="0"/>
        <v>-0.5035552682611506</v>
      </c>
      <c r="C7" s="109">
        <v>489</v>
      </c>
      <c r="D7" s="1">
        <v>-781</v>
      </c>
      <c r="E7" s="91">
        <v>1536</v>
      </c>
      <c r="F7" s="1">
        <v>3094</v>
      </c>
      <c r="G7" s="1">
        <v>4023</v>
      </c>
      <c r="H7" s="1">
        <v>1771</v>
      </c>
      <c r="I7" s="1">
        <v>909</v>
      </c>
      <c r="J7" s="1">
        <v>3788</v>
      </c>
      <c r="K7" s="76">
        <v>786</v>
      </c>
      <c r="L7" s="1">
        <v>1457</v>
      </c>
      <c r="M7" s="1">
        <v>2265</v>
      </c>
      <c r="N7" s="1">
        <v>979</v>
      </c>
      <c r="O7" s="1">
        <v>2036</v>
      </c>
      <c r="P7" s="1">
        <v>812</v>
      </c>
      <c r="Q7" s="1">
        <v>531</v>
      </c>
      <c r="R7" s="1">
        <v>447</v>
      </c>
      <c r="S7" s="1">
        <v>806</v>
      </c>
      <c r="T7" s="1">
        <v>1292</v>
      </c>
      <c r="U7" s="1">
        <v>602</v>
      </c>
      <c r="V7" s="29">
        <v>1209</v>
      </c>
    </row>
    <row r="8" spans="1:22" x14ac:dyDescent="0.25">
      <c r="A8" s="20" t="s">
        <v>19</v>
      </c>
      <c r="B8" s="27">
        <f t="shared" si="0"/>
        <v>-0.60354609929078018</v>
      </c>
      <c r="C8" s="109">
        <v>697</v>
      </c>
      <c r="D8" s="1">
        <v>-820</v>
      </c>
      <c r="E8" s="91">
        <v>559</v>
      </c>
      <c r="F8" s="1">
        <v>1410</v>
      </c>
      <c r="G8" s="1">
        <v>992</v>
      </c>
      <c r="H8" s="1">
        <v>633</v>
      </c>
      <c r="I8" s="1">
        <v>686</v>
      </c>
      <c r="J8" s="1">
        <v>1249</v>
      </c>
      <c r="K8" s="76">
        <v>506</v>
      </c>
      <c r="L8" s="1">
        <v>48</v>
      </c>
      <c r="M8" s="1">
        <v>413</v>
      </c>
      <c r="N8" s="1">
        <v>10</v>
      </c>
      <c r="O8" s="1">
        <v>66</v>
      </c>
      <c r="P8" s="1">
        <v>77</v>
      </c>
      <c r="Q8" s="1">
        <v>22</v>
      </c>
      <c r="R8" s="1">
        <v>37</v>
      </c>
      <c r="S8" s="1">
        <v>23</v>
      </c>
      <c r="T8" s="1">
        <v>7</v>
      </c>
      <c r="U8" s="1">
        <v>94</v>
      </c>
      <c r="V8" s="29">
        <v>0</v>
      </c>
    </row>
    <row r="9" spans="1:22" x14ac:dyDescent="0.25">
      <c r="A9" s="39" t="s">
        <v>89</v>
      </c>
      <c r="B9" s="27">
        <f t="shared" si="0"/>
        <v>0.16037735849056603</v>
      </c>
      <c r="C9" s="109">
        <v>-74</v>
      </c>
      <c r="D9" s="1">
        <v>307</v>
      </c>
      <c r="E9" s="91">
        <v>123</v>
      </c>
      <c r="F9" s="1">
        <v>106</v>
      </c>
      <c r="G9" s="1">
        <v>556</v>
      </c>
      <c r="H9" s="1">
        <v>589</v>
      </c>
      <c r="I9" s="1">
        <v>135</v>
      </c>
      <c r="J9" s="1">
        <v>668</v>
      </c>
      <c r="K9" s="76">
        <v>127</v>
      </c>
      <c r="L9" s="1">
        <v>368</v>
      </c>
      <c r="M9" s="1">
        <v>867</v>
      </c>
      <c r="N9" s="1">
        <v>568</v>
      </c>
      <c r="O9" s="1">
        <v>81</v>
      </c>
      <c r="P9" s="1">
        <v>153</v>
      </c>
      <c r="Q9" s="1">
        <v>166</v>
      </c>
      <c r="R9" s="1">
        <v>242</v>
      </c>
      <c r="S9" s="1">
        <v>81</v>
      </c>
      <c r="T9" s="1">
        <v>139</v>
      </c>
      <c r="U9" s="1">
        <v>36</v>
      </c>
      <c r="V9" s="29">
        <v>360</v>
      </c>
    </row>
    <row r="10" spans="1:22" x14ac:dyDescent="0.25">
      <c r="A10" s="20" t="s">
        <v>35</v>
      </c>
      <c r="B10" s="27" t="str">
        <f t="shared" si="0"/>
        <v/>
      </c>
      <c r="C10" s="109">
        <v>0</v>
      </c>
      <c r="D10" s="1">
        <v>0</v>
      </c>
      <c r="E10" s="91">
        <v>0</v>
      </c>
      <c r="F10" s="1">
        <v>0</v>
      </c>
      <c r="G10" s="1">
        <v>0</v>
      </c>
      <c r="H10" s="1">
        <v>0</v>
      </c>
      <c r="I10" s="1">
        <v>0</v>
      </c>
      <c r="J10" s="1">
        <v>12</v>
      </c>
      <c r="K10" s="76">
        <v>0</v>
      </c>
      <c r="L10" s="1">
        <v>0</v>
      </c>
      <c r="M10" s="1">
        <v>25</v>
      </c>
      <c r="N10" s="1">
        <v>2</v>
      </c>
      <c r="O10" s="1">
        <v>0</v>
      </c>
      <c r="P10" s="1">
        <v>8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29">
        <v>0</v>
      </c>
    </row>
    <row r="11" spans="1:22" ht="13.8" thickBot="1" x14ac:dyDescent="0.3">
      <c r="A11" s="21" t="s">
        <v>59</v>
      </c>
      <c r="B11" s="27">
        <f t="shared" si="0"/>
        <v>1.4953271028037384E-2</v>
      </c>
      <c r="C11" s="109">
        <v>-348</v>
      </c>
      <c r="D11" s="1">
        <v>-1387</v>
      </c>
      <c r="E11" s="91">
        <v>2715</v>
      </c>
      <c r="F11" s="1">
        <v>2675</v>
      </c>
      <c r="G11" s="1">
        <v>2315</v>
      </c>
      <c r="H11" s="1">
        <v>1077</v>
      </c>
      <c r="I11" s="1">
        <v>977</v>
      </c>
      <c r="J11" s="1">
        <v>2247</v>
      </c>
      <c r="K11" s="76">
        <v>889</v>
      </c>
      <c r="L11" s="1">
        <v>522</v>
      </c>
      <c r="M11" s="70">
        <v>1893</v>
      </c>
      <c r="N11" s="70">
        <v>615</v>
      </c>
      <c r="O11" s="70">
        <v>1045</v>
      </c>
      <c r="P11" s="70">
        <v>507</v>
      </c>
      <c r="Q11" s="70">
        <v>366</v>
      </c>
      <c r="R11" s="70">
        <v>229</v>
      </c>
      <c r="S11" s="70">
        <v>475</v>
      </c>
      <c r="T11" s="70">
        <v>408</v>
      </c>
      <c r="U11" s="1">
        <v>426</v>
      </c>
      <c r="V11" s="29">
        <v>1024</v>
      </c>
    </row>
    <row r="12" spans="1:22" ht="13.8" thickBot="1" x14ac:dyDescent="0.3">
      <c r="A12" s="23" t="s">
        <v>23</v>
      </c>
      <c r="B12" s="122">
        <f t="shared" si="0"/>
        <v>-0.25660234223128348</v>
      </c>
      <c r="C12" s="115">
        <v>-1940</v>
      </c>
      <c r="D12" s="43">
        <v>-8936</v>
      </c>
      <c r="E12" s="124">
        <f>SUM(E2:E11)</f>
        <v>15679</v>
      </c>
      <c r="F12" s="43">
        <f>SUM(F2:F11)</f>
        <v>21091</v>
      </c>
      <c r="G12" s="43">
        <f>SUM(G2:G11)</f>
        <v>21783</v>
      </c>
      <c r="H12" s="43">
        <f>SUM(H2:H11)</f>
        <v>18076</v>
      </c>
      <c r="I12" s="43">
        <f>SUM(I2:I11)</f>
        <v>12807</v>
      </c>
      <c r="J12" s="43">
        <v>26740</v>
      </c>
      <c r="K12" s="99">
        <v>12952</v>
      </c>
      <c r="L12" s="99">
        <f>SUM(L2:L11)</f>
        <v>10518</v>
      </c>
      <c r="M12" s="43">
        <f>SUM(M3:M11)</f>
        <v>20007</v>
      </c>
      <c r="N12" s="43">
        <f>SUM(N3:N11)</f>
        <v>12168</v>
      </c>
      <c r="O12" s="43">
        <f>SUM(O3:O11)</f>
        <v>13775</v>
      </c>
      <c r="P12" s="43">
        <f>SUM(P3:P11)</f>
        <v>9819</v>
      </c>
      <c r="Q12" s="43">
        <f t="shared" ref="Q12:V12" si="1">SUM(Q3:Q11)</f>
        <v>5977</v>
      </c>
      <c r="R12" s="43">
        <f t="shared" si="1"/>
        <v>6570</v>
      </c>
      <c r="S12" s="43">
        <f t="shared" si="1"/>
        <v>14995</v>
      </c>
      <c r="T12" s="43">
        <f t="shared" si="1"/>
        <v>16065</v>
      </c>
      <c r="U12" s="43">
        <f t="shared" si="1"/>
        <v>5802</v>
      </c>
      <c r="V12" s="79">
        <f t="shared" si="1"/>
        <v>13783</v>
      </c>
    </row>
    <row r="13" spans="1:22" x14ac:dyDescent="0.25">
      <c r="B13" s="36"/>
      <c r="C13" s="36"/>
      <c r="D13" s="36"/>
      <c r="E13" s="36"/>
      <c r="F13" s="36"/>
      <c r="G13" s="36"/>
      <c r="H13" s="36"/>
      <c r="I13" s="36"/>
      <c r="J13" s="36"/>
      <c r="K13" s="72"/>
      <c r="L13" s="72"/>
    </row>
    <row r="14" spans="1:22" ht="13.8" thickBot="1" x14ac:dyDescent="0.3"/>
    <row r="15" spans="1:22" ht="13.8" thickBot="1" x14ac:dyDescent="0.3">
      <c r="A15" s="47" t="s">
        <v>25</v>
      </c>
      <c r="B15" s="24" t="s">
        <v>182</v>
      </c>
      <c r="C15" s="125" t="s">
        <v>183</v>
      </c>
      <c r="D15" s="69" t="s">
        <v>178</v>
      </c>
      <c r="E15" s="127">
        <v>45383</v>
      </c>
      <c r="F15" s="101">
        <v>45017</v>
      </c>
      <c r="G15" s="101">
        <v>44652</v>
      </c>
      <c r="H15" s="101">
        <v>44287</v>
      </c>
      <c r="I15" s="101">
        <v>43922</v>
      </c>
      <c r="J15" s="101">
        <v>43556</v>
      </c>
      <c r="K15" s="101">
        <v>43191</v>
      </c>
      <c r="L15" s="25">
        <v>42826</v>
      </c>
      <c r="M15" s="25">
        <v>42461</v>
      </c>
      <c r="N15" s="25">
        <v>42095</v>
      </c>
      <c r="O15" s="25">
        <v>41730</v>
      </c>
      <c r="P15" s="25">
        <v>41365</v>
      </c>
      <c r="Q15" s="25">
        <v>41000</v>
      </c>
      <c r="R15" s="25">
        <v>40634</v>
      </c>
      <c r="S15" s="25">
        <v>40269</v>
      </c>
      <c r="T15" s="25">
        <v>39904</v>
      </c>
      <c r="U15" s="25">
        <v>39539</v>
      </c>
      <c r="V15" s="26">
        <v>39173</v>
      </c>
    </row>
    <row r="16" spans="1:22" x14ac:dyDescent="0.25">
      <c r="A16" s="48" t="s">
        <v>7</v>
      </c>
      <c r="B16" s="49">
        <f t="shared" ref="B16:B21" si="2">IFERROR(((E16-F16)/F16),"")</f>
        <v>8.9090909090909083</v>
      </c>
      <c r="C16" s="109">
        <v>-953</v>
      </c>
      <c r="D16" s="50">
        <v>-534</v>
      </c>
      <c r="E16" s="126">
        <v>545</v>
      </c>
      <c r="F16" s="50">
        <v>55</v>
      </c>
      <c r="G16" s="50">
        <v>62</v>
      </c>
      <c r="H16" s="50">
        <v>715</v>
      </c>
      <c r="I16" s="50">
        <v>715</v>
      </c>
      <c r="J16" s="50">
        <v>1085</v>
      </c>
      <c r="K16" s="50">
        <v>845</v>
      </c>
      <c r="L16" s="50">
        <v>515</v>
      </c>
      <c r="M16" s="50">
        <v>635</v>
      </c>
      <c r="N16" s="50">
        <v>0</v>
      </c>
      <c r="O16" s="50">
        <v>905</v>
      </c>
      <c r="P16" s="50">
        <v>0</v>
      </c>
      <c r="Q16" s="50">
        <v>16</v>
      </c>
      <c r="R16" s="50">
        <v>1</v>
      </c>
      <c r="S16" s="50">
        <v>0</v>
      </c>
      <c r="T16" s="50">
        <v>0</v>
      </c>
      <c r="U16" s="50">
        <v>0</v>
      </c>
      <c r="V16" s="60">
        <v>0</v>
      </c>
    </row>
    <row r="17" spans="1:23" x14ac:dyDescent="0.25">
      <c r="A17" s="48" t="s">
        <v>42</v>
      </c>
      <c r="B17" s="49" t="str">
        <f t="shared" si="2"/>
        <v/>
      </c>
      <c r="C17" s="109">
        <v>-78</v>
      </c>
      <c r="D17" s="50">
        <v>0</v>
      </c>
      <c r="E17" s="126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60">
        <v>0</v>
      </c>
    </row>
    <row r="18" spans="1:23" x14ac:dyDescent="0.25">
      <c r="A18" s="48" t="s">
        <v>154</v>
      </c>
      <c r="B18" s="49">
        <f t="shared" si="2"/>
        <v>1.9</v>
      </c>
      <c r="C18" s="109">
        <v>-51</v>
      </c>
      <c r="D18" s="50">
        <v>6</v>
      </c>
      <c r="E18" s="126">
        <v>29</v>
      </c>
      <c r="F18" s="50">
        <v>10</v>
      </c>
      <c r="G18" s="50">
        <v>22</v>
      </c>
      <c r="H18" s="50">
        <v>131</v>
      </c>
      <c r="I18" s="50">
        <v>2</v>
      </c>
      <c r="J18" s="50">
        <v>19</v>
      </c>
      <c r="K18" s="50">
        <v>0</v>
      </c>
      <c r="L18" s="50">
        <v>3</v>
      </c>
      <c r="M18" s="50">
        <v>53</v>
      </c>
      <c r="N18" s="50">
        <v>3</v>
      </c>
      <c r="O18" s="50">
        <v>11</v>
      </c>
      <c r="P18" s="50">
        <v>0</v>
      </c>
      <c r="Q18" s="50"/>
      <c r="R18" s="50"/>
      <c r="S18" s="50"/>
      <c r="T18" s="50"/>
      <c r="U18" s="50"/>
      <c r="V18" s="60"/>
    </row>
    <row r="19" spans="1:23" x14ac:dyDescent="0.25">
      <c r="A19" s="48" t="s">
        <v>155</v>
      </c>
      <c r="B19" s="49" t="str">
        <f t="shared" si="2"/>
        <v/>
      </c>
      <c r="C19" s="109">
        <v>0</v>
      </c>
      <c r="D19" s="50">
        <v>0</v>
      </c>
      <c r="E19" s="126">
        <v>0</v>
      </c>
      <c r="F19" s="50">
        <v>0</v>
      </c>
      <c r="G19" s="50">
        <v>0</v>
      </c>
      <c r="H19" s="50">
        <v>50</v>
      </c>
      <c r="I19" s="50">
        <v>0</v>
      </c>
      <c r="J19" s="50">
        <v>20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/>
      <c r="R19" s="50"/>
      <c r="S19" s="50"/>
      <c r="T19" s="50"/>
      <c r="U19" s="50"/>
      <c r="V19" s="60"/>
    </row>
    <row r="20" spans="1:23" ht="13.8" thickBot="1" x14ac:dyDescent="0.3">
      <c r="A20" s="48" t="s">
        <v>6</v>
      </c>
      <c r="B20" s="49" t="str">
        <f t="shared" si="2"/>
        <v/>
      </c>
      <c r="C20" s="109">
        <v>-2</v>
      </c>
      <c r="D20" s="50">
        <v>-16</v>
      </c>
      <c r="E20" s="126">
        <v>3</v>
      </c>
      <c r="F20" s="50">
        <v>0</v>
      </c>
      <c r="G20" s="50">
        <v>4</v>
      </c>
      <c r="H20" s="50">
        <v>15</v>
      </c>
      <c r="I20" s="50">
        <v>5</v>
      </c>
      <c r="J20" s="50">
        <v>9</v>
      </c>
      <c r="K20" s="50">
        <v>0</v>
      </c>
      <c r="L20" s="50">
        <v>0</v>
      </c>
      <c r="M20" s="50">
        <v>18</v>
      </c>
      <c r="N20" s="50">
        <v>0</v>
      </c>
      <c r="O20" s="50">
        <v>1</v>
      </c>
      <c r="P20" s="50">
        <v>0</v>
      </c>
      <c r="Q20" s="50">
        <v>0</v>
      </c>
      <c r="R20" s="50">
        <v>17</v>
      </c>
      <c r="S20" s="50">
        <v>0</v>
      </c>
      <c r="T20" s="50">
        <v>0</v>
      </c>
      <c r="U20" s="50">
        <v>0</v>
      </c>
      <c r="V20" s="60">
        <v>0</v>
      </c>
      <c r="W20" s="1"/>
    </row>
    <row r="21" spans="1:23" ht="13.8" thickBot="1" x14ac:dyDescent="0.3">
      <c r="A21" s="47" t="s">
        <v>92</v>
      </c>
      <c r="B21" s="56">
        <f t="shared" si="2"/>
        <v>7.8769230769230774</v>
      </c>
      <c r="C21" s="115">
        <v>-1084</v>
      </c>
      <c r="D21" s="74">
        <v>-544</v>
      </c>
      <c r="E21" s="57">
        <f>SUM(E16:E20)</f>
        <v>577</v>
      </c>
      <c r="F21" s="74">
        <f>SUM(F16:F20)</f>
        <v>65</v>
      </c>
      <c r="G21" s="74">
        <f>SUM(G16:G20)</f>
        <v>88</v>
      </c>
      <c r="H21" s="74">
        <f>SUM(H16:H20)</f>
        <v>911</v>
      </c>
      <c r="I21" s="74">
        <f>SUM(I16:I20)</f>
        <v>722</v>
      </c>
      <c r="J21" s="74">
        <v>1133</v>
      </c>
      <c r="K21" s="74">
        <f t="shared" ref="K21:P21" si="3">SUM(K16:K20)</f>
        <v>845</v>
      </c>
      <c r="L21" s="74">
        <f t="shared" si="3"/>
        <v>518</v>
      </c>
      <c r="M21" s="74">
        <f t="shared" si="3"/>
        <v>706</v>
      </c>
      <c r="N21" s="74">
        <f t="shared" si="3"/>
        <v>3</v>
      </c>
      <c r="O21" s="74">
        <f t="shared" si="3"/>
        <v>917</v>
      </c>
      <c r="P21" s="74">
        <f t="shared" si="3"/>
        <v>0</v>
      </c>
      <c r="Q21" s="74">
        <f t="shared" ref="Q21:V21" si="4">SUM(Q16:Q20)</f>
        <v>16</v>
      </c>
      <c r="R21" s="74">
        <f t="shared" si="4"/>
        <v>18</v>
      </c>
      <c r="S21" s="74">
        <f t="shared" si="4"/>
        <v>0</v>
      </c>
      <c r="T21" s="74">
        <f t="shared" si="4"/>
        <v>0</v>
      </c>
      <c r="U21" s="74">
        <f t="shared" si="4"/>
        <v>0</v>
      </c>
      <c r="V21" s="75">
        <f t="shared" si="4"/>
        <v>0</v>
      </c>
      <c r="W21" s="1"/>
    </row>
  </sheetData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30"/>
  <sheetViews>
    <sheetView zoomScaleNormal="100" workbookViewId="0"/>
  </sheetViews>
  <sheetFormatPr defaultColWidth="8.77734375" defaultRowHeight="13.2" x14ac:dyDescent="0.25"/>
  <cols>
    <col min="1" max="1" width="24.77734375" customWidth="1"/>
    <col min="2" max="2" width="10.77734375" customWidth="1"/>
    <col min="3" max="4" width="11.6640625" bestFit="1" customWidth="1"/>
    <col min="5" max="10" width="11.6640625" customWidth="1"/>
    <col min="11" max="11" width="11.33203125" customWidth="1"/>
    <col min="12" max="12" width="10.77734375" customWidth="1"/>
    <col min="13" max="22" width="10.109375" bestFit="1" customWidth="1"/>
  </cols>
  <sheetData>
    <row r="1" spans="1:23" ht="13.8" thickBot="1" x14ac:dyDescent="0.3">
      <c r="A1" s="38" t="s">
        <v>24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5">
        <v>40269</v>
      </c>
      <c r="T1" s="25">
        <v>39904</v>
      </c>
      <c r="U1" s="25">
        <v>39539</v>
      </c>
      <c r="V1" s="26">
        <v>39173</v>
      </c>
    </row>
    <row r="2" spans="1:23" x14ac:dyDescent="0.25">
      <c r="A2" s="39" t="s">
        <v>4</v>
      </c>
      <c r="B2" s="44" t="str">
        <f t="shared" ref="B2:B20" si="0">IFERROR(((E2-F2)/F2),"")</f>
        <v/>
      </c>
      <c r="C2" s="110">
        <v>0</v>
      </c>
      <c r="D2" s="37">
        <v>0</v>
      </c>
      <c r="E2" s="123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>
        <v>0</v>
      </c>
      <c r="T2" s="37">
        <v>0</v>
      </c>
      <c r="U2" s="37"/>
      <c r="V2" s="59"/>
    </row>
    <row r="3" spans="1:23" x14ac:dyDescent="0.25">
      <c r="A3" s="39" t="s">
        <v>97</v>
      </c>
      <c r="B3" s="44" t="str">
        <f t="shared" si="0"/>
        <v/>
      </c>
      <c r="C3" s="110">
        <v>0</v>
      </c>
      <c r="D3" s="37">
        <v>0</v>
      </c>
      <c r="E3" s="123"/>
      <c r="F3" s="37"/>
      <c r="G3" s="37"/>
      <c r="H3" s="37"/>
      <c r="I3" s="50">
        <v>148</v>
      </c>
      <c r="J3" s="37">
        <v>0</v>
      </c>
      <c r="K3" s="37"/>
      <c r="L3" s="37">
        <v>7</v>
      </c>
      <c r="M3" s="37">
        <v>195</v>
      </c>
      <c r="N3" s="37">
        <v>0</v>
      </c>
      <c r="O3" s="37">
        <v>3</v>
      </c>
      <c r="P3" s="37">
        <v>3</v>
      </c>
      <c r="Q3" s="37">
        <v>3</v>
      </c>
      <c r="R3" s="37">
        <v>15</v>
      </c>
      <c r="S3" s="37">
        <v>52</v>
      </c>
      <c r="T3" s="37">
        <v>2</v>
      </c>
      <c r="U3" s="37"/>
      <c r="V3" s="59"/>
    </row>
    <row r="4" spans="1:23" x14ac:dyDescent="0.25">
      <c r="A4" s="39" t="s">
        <v>5</v>
      </c>
      <c r="B4" s="44" t="str">
        <f t="shared" si="0"/>
        <v/>
      </c>
      <c r="C4" s="110">
        <v>0</v>
      </c>
      <c r="D4" s="37">
        <v>0</v>
      </c>
      <c r="E4" s="123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>
        <v>0</v>
      </c>
      <c r="T4" s="37">
        <v>0</v>
      </c>
      <c r="U4" s="37"/>
      <c r="V4" s="59"/>
    </row>
    <row r="5" spans="1:23" x14ac:dyDescent="0.25">
      <c r="A5" s="39" t="s">
        <v>2</v>
      </c>
      <c r="B5" s="44">
        <f t="shared" si="0"/>
        <v>-1</v>
      </c>
      <c r="C5" s="110">
        <v>-582</v>
      </c>
      <c r="D5" s="37">
        <v>-685</v>
      </c>
      <c r="E5" s="123"/>
      <c r="F5" s="37">
        <v>493</v>
      </c>
      <c r="G5" s="37">
        <v>1049</v>
      </c>
      <c r="H5" s="37">
        <v>202</v>
      </c>
      <c r="I5" s="37">
        <v>50</v>
      </c>
      <c r="J5" s="37">
        <v>907</v>
      </c>
      <c r="K5" s="37">
        <v>379</v>
      </c>
      <c r="L5" s="37">
        <v>647</v>
      </c>
      <c r="M5" s="37">
        <v>716</v>
      </c>
      <c r="N5" s="37">
        <v>185</v>
      </c>
      <c r="O5" s="37">
        <v>35</v>
      </c>
      <c r="P5" s="37">
        <v>3</v>
      </c>
      <c r="Q5" s="37">
        <v>35</v>
      </c>
      <c r="R5" s="37"/>
      <c r="S5" s="37">
        <v>279</v>
      </c>
      <c r="T5" s="37">
        <v>307</v>
      </c>
      <c r="U5" s="37"/>
      <c r="V5" s="59"/>
    </row>
    <row r="6" spans="1:23" x14ac:dyDescent="0.25">
      <c r="A6" s="39" t="s">
        <v>12</v>
      </c>
      <c r="B6" s="44" t="str">
        <f t="shared" si="0"/>
        <v/>
      </c>
      <c r="C6" s="110">
        <v>0</v>
      </c>
      <c r="D6" s="37">
        <v>0</v>
      </c>
      <c r="E6" s="123"/>
      <c r="F6" s="37"/>
      <c r="G6" s="37"/>
      <c r="H6" s="37"/>
      <c r="I6" s="37"/>
      <c r="J6" s="37">
        <v>8</v>
      </c>
      <c r="K6" s="37"/>
      <c r="L6" s="37">
        <v>3</v>
      </c>
      <c r="M6" s="37"/>
      <c r="N6" s="37"/>
      <c r="O6" s="37"/>
      <c r="P6" s="37"/>
      <c r="Q6" s="37"/>
      <c r="R6" s="37"/>
      <c r="S6" s="37">
        <v>0</v>
      </c>
      <c r="T6" s="37">
        <v>0</v>
      </c>
      <c r="U6" s="37"/>
      <c r="V6" s="59"/>
    </row>
    <row r="7" spans="1:23" x14ac:dyDescent="0.25">
      <c r="A7" s="39" t="s">
        <v>9</v>
      </c>
      <c r="B7" s="44" t="str">
        <f t="shared" si="0"/>
        <v/>
      </c>
      <c r="C7" s="110">
        <v>-13</v>
      </c>
      <c r="D7" s="37">
        <v>-16</v>
      </c>
      <c r="E7" s="123"/>
      <c r="F7" s="37"/>
      <c r="G7" s="37"/>
      <c r="H7" s="37"/>
      <c r="I7" s="37"/>
      <c r="J7" s="37">
        <v>135</v>
      </c>
      <c r="K7" s="37"/>
      <c r="L7" s="37">
        <v>53</v>
      </c>
      <c r="M7" s="37">
        <v>40</v>
      </c>
      <c r="N7" s="37"/>
      <c r="O7" s="37"/>
      <c r="P7" s="37"/>
      <c r="Q7" s="37"/>
      <c r="R7" s="37"/>
      <c r="S7" s="37">
        <v>0</v>
      </c>
      <c r="T7" s="37">
        <v>0</v>
      </c>
      <c r="U7" s="37"/>
      <c r="V7" s="59"/>
    </row>
    <row r="8" spans="1:23" x14ac:dyDescent="0.25">
      <c r="A8" s="39" t="s">
        <v>14</v>
      </c>
      <c r="B8" s="44" t="str">
        <f t="shared" si="0"/>
        <v/>
      </c>
      <c r="C8" s="110">
        <v>0</v>
      </c>
      <c r="D8" s="37">
        <v>0</v>
      </c>
      <c r="E8" s="123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>
        <v>4</v>
      </c>
      <c r="T8" s="37">
        <v>105</v>
      </c>
      <c r="U8" s="37"/>
      <c r="V8" s="59"/>
    </row>
    <row r="9" spans="1:23" x14ac:dyDescent="0.25">
      <c r="A9" s="39" t="s">
        <v>172</v>
      </c>
      <c r="B9" s="44" t="str">
        <f t="shared" si="0"/>
        <v/>
      </c>
      <c r="C9" s="110">
        <v>0</v>
      </c>
      <c r="D9" s="37">
        <v>0</v>
      </c>
      <c r="E9" s="123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59"/>
    </row>
    <row r="10" spans="1:23" x14ac:dyDescent="0.25">
      <c r="A10" s="39" t="s">
        <v>15</v>
      </c>
      <c r="B10" s="44" t="str">
        <f t="shared" si="0"/>
        <v/>
      </c>
      <c r="C10" s="110">
        <v>0</v>
      </c>
      <c r="D10" s="37">
        <v>-10</v>
      </c>
      <c r="E10" s="123"/>
      <c r="F10" s="37"/>
      <c r="G10" s="37"/>
      <c r="H10" s="37"/>
      <c r="I10" s="37"/>
      <c r="J10" s="37">
        <v>35</v>
      </c>
      <c r="K10" s="37"/>
      <c r="L10" s="37"/>
      <c r="M10" s="37"/>
      <c r="N10" s="37"/>
      <c r="O10" s="37"/>
      <c r="P10" s="37"/>
      <c r="Q10" s="37"/>
      <c r="R10" s="37"/>
      <c r="S10" s="37">
        <v>0</v>
      </c>
      <c r="T10" s="37">
        <v>0</v>
      </c>
      <c r="U10" s="37"/>
      <c r="V10" s="59"/>
    </row>
    <row r="11" spans="1:23" x14ac:dyDescent="0.25">
      <c r="A11" s="39" t="s">
        <v>10</v>
      </c>
      <c r="B11" s="44" t="str">
        <f t="shared" si="0"/>
        <v/>
      </c>
      <c r="C11" s="110">
        <v>0</v>
      </c>
      <c r="D11" s="37">
        <v>0</v>
      </c>
      <c r="E11" s="123"/>
      <c r="F11" s="37"/>
      <c r="G11" s="37"/>
      <c r="H11" s="37"/>
      <c r="I11" s="37"/>
      <c r="J11" s="37">
        <v>14</v>
      </c>
      <c r="K11" s="37"/>
      <c r="L11" s="37"/>
      <c r="M11" s="37"/>
      <c r="N11" s="37"/>
      <c r="O11" s="37"/>
      <c r="P11" s="37"/>
      <c r="Q11" s="37"/>
      <c r="R11" s="37">
        <v>5</v>
      </c>
      <c r="S11" s="37">
        <v>7</v>
      </c>
      <c r="T11" s="37">
        <v>20</v>
      </c>
      <c r="U11" s="37"/>
      <c r="V11" s="59"/>
      <c r="W11" s="1"/>
    </row>
    <row r="12" spans="1:23" x14ac:dyDescent="0.25">
      <c r="A12" s="39" t="s">
        <v>152</v>
      </c>
      <c r="B12" s="44" t="str">
        <f t="shared" si="0"/>
        <v/>
      </c>
      <c r="C12" s="110">
        <v>0</v>
      </c>
      <c r="D12" s="37">
        <v>0</v>
      </c>
      <c r="E12" s="123"/>
      <c r="F12" s="37"/>
      <c r="G12" s="37"/>
      <c r="H12" s="37"/>
      <c r="I12" s="37"/>
      <c r="J12" s="37">
        <v>0</v>
      </c>
      <c r="K12" s="37"/>
      <c r="L12" s="37"/>
      <c r="M12" s="37">
        <v>0</v>
      </c>
      <c r="N12" s="37"/>
      <c r="O12" s="37"/>
      <c r="P12" s="37"/>
      <c r="Q12" s="37"/>
      <c r="R12" s="37"/>
      <c r="S12" s="37">
        <v>0</v>
      </c>
      <c r="T12" s="37">
        <v>0</v>
      </c>
      <c r="U12" s="37"/>
      <c r="V12" s="59"/>
      <c r="W12" s="1"/>
    </row>
    <row r="13" spans="1:23" x14ac:dyDescent="0.25">
      <c r="A13" s="39" t="s">
        <v>27</v>
      </c>
      <c r="B13" s="44" t="str">
        <f t="shared" si="0"/>
        <v/>
      </c>
      <c r="C13" s="110">
        <v>0</v>
      </c>
      <c r="D13" s="37">
        <v>-8</v>
      </c>
      <c r="E13" s="123"/>
      <c r="F13" s="37"/>
      <c r="G13" s="37">
        <v>21</v>
      </c>
      <c r="H13" s="37"/>
      <c r="I13" s="37"/>
      <c r="J13" s="37">
        <v>51</v>
      </c>
      <c r="K13" s="37"/>
      <c r="L13" s="37">
        <v>15</v>
      </c>
      <c r="M13" s="37">
        <v>19</v>
      </c>
      <c r="N13" s="37">
        <v>45</v>
      </c>
      <c r="O13" s="37"/>
      <c r="P13" s="37">
        <v>35</v>
      </c>
      <c r="Q13" s="37"/>
      <c r="R13" s="37"/>
      <c r="S13" s="37">
        <v>0</v>
      </c>
      <c r="T13" s="37">
        <v>0</v>
      </c>
      <c r="U13" s="37">
        <v>326</v>
      </c>
      <c r="V13" s="59"/>
      <c r="W13" s="1"/>
    </row>
    <row r="14" spans="1:23" x14ac:dyDescent="0.25">
      <c r="A14" s="39" t="s">
        <v>26</v>
      </c>
      <c r="B14" s="44">
        <f t="shared" si="0"/>
        <v>-0.80917431192660549</v>
      </c>
      <c r="C14" s="110">
        <v>-519</v>
      </c>
      <c r="D14" s="37">
        <v>-53</v>
      </c>
      <c r="E14" s="123">
        <v>104</v>
      </c>
      <c r="F14" s="37">
        <v>545</v>
      </c>
      <c r="G14" s="37">
        <v>946</v>
      </c>
      <c r="H14" s="37">
        <v>745</v>
      </c>
      <c r="I14" s="37">
        <v>85</v>
      </c>
      <c r="J14" s="37">
        <v>1733</v>
      </c>
      <c r="K14" s="37">
        <v>577</v>
      </c>
      <c r="L14" s="37">
        <v>1704</v>
      </c>
      <c r="M14" s="37">
        <v>1762</v>
      </c>
      <c r="N14" s="37">
        <v>950</v>
      </c>
      <c r="O14" s="37">
        <v>669</v>
      </c>
      <c r="P14" s="37">
        <v>303</v>
      </c>
      <c r="Q14" s="37">
        <v>669</v>
      </c>
      <c r="R14" s="37">
        <v>262</v>
      </c>
      <c r="S14" s="37">
        <v>480</v>
      </c>
      <c r="T14" s="37">
        <v>1159</v>
      </c>
      <c r="U14" s="37"/>
      <c r="V14" s="59"/>
    </row>
    <row r="15" spans="1:23" x14ac:dyDescent="0.25">
      <c r="A15" s="39" t="s">
        <v>98</v>
      </c>
      <c r="B15" s="44" t="str">
        <f t="shared" si="0"/>
        <v/>
      </c>
      <c r="C15" s="110">
        <v>0</v>
      </c>
      <c r="D15" s="37">
        <v>0</v>
      </c>
      <c r="E15" s="123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>
        <v>0</v>
      </c>
      <c r="T15" s="37">
        <v>0</v>
      </c>
      <c r="U15" s="37"/>
      <c r="V15" s="59"/>
    </row>
    <row r="16" spans="1:23" x14ac:dyDescent="0.25">
      <c r="A16" s="39" t="s">
        <v>13</v>
      </c>
      <c r="B16" s="44" t="str">
        <f t="shared" si="0"/>
        <v/>
      </c>
      <c r="C16" s="110">
        <v>0</v>
      </c>
      <c r="D16" s="37">
        <v>0</v>
      </c>
      <c r="E16" s="123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>
        <v>31</v>
      </c>
      <c r="T16" s="37">
        <v>21</v>
      </c>
      <c r="U16" s="37"/>
      <c r="V16" s="59"/>
    </row>
    <row r="17" spans="1:22" x14ac:dyDescent="0.25">
      <c r="A17" s="39" t="s">
        <v>35</v>
      </c>
      <c r="B17" s="44" t="str">
        <f t="shared" si="0"/>
        <v/>
      </c>
      <c r="C17" s="110">
        <v>0</v>
      </c>
      <c r="D17" s="37">
        <v>0</v>
      </c>
      <c r="E17" s="123"/>
      <c r="F17" s="37"/>
      <c r="G17" s="37"/>
      <c r="H17" s="37"/>
      <c r="I17" s="37"/>
      <c r="J17" s="37">
        <v>0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59"/>
    </row>
    <row r="18" spans="1:22" x14ac:dyDescent="0.25">
      <c r="A18" s="39" t="s">
        <v>87</v>
      </c>
      <c r="B18" s="44">
        <f t="shared" si="0"/>
        <v>-0.68234536082474229</v>
      </c>
      <c r="C18" s="110">
        <v>-524</v>
      </c>
      <c r="D18" s="37">
        <v>-641</v>
      </c>
      <c r="E18" s="123">
        <v>493</v>
      </c>
      <c r="F18" s="37">
        <v>1552</v>
      </c>
      <c r="G18" s="37">
        <v>1835</v>
      </c>
      <c r="H18" s="37">
        <v>455</v>
      </c>
      <c r="I18" s="37">
        <v>227</v>
      </c>
      <c r="J18" s="37">
        <v>1510</v>
      </c>
      <c r="K18" s="37"/>
      <c r="L18" s="37">
        <v>888</v>
      </c>
      <c r="M18" s="37">
        <v>886</v>
      </c>
      <c r="N18" s="37">
        <v>718</v>
      </c>
      <c r="O18" s="37">
        <v>484</v>
      </c>
      <c r="P18" s="37">
        <v>120</v>
      </c>
      <c r="Q18" s="37">
        <v>484</v>
      </c>
      <c r="R18" s="37">
        <v>170</v>
      </c>
      <c r="S18" s="37">
        <v>126</v>
      </c>
      <c r="T18" s="37">
        <v>12</v>
      </c>
      <c r="U18" s="37"/>
      <c r="V18" s="59"/>
    </row>
    <row r="19" spans="1:22" ht="13.8" thickBot="1" x14ac:dyDescent="0.3">
      <c r="A19" s="39" t="s">
        <v>6</v>
      </c>
      <c r="B19" s="44">
        <f t="shared" si="0"/>
        <v>-0.90344827586206899</v>
      </c>
      <c r="C19" s="110">
        <v>-277</v>
      </c>
      <c r="D19" s="37">
        <v>-424</v>
      </c>
      <c r="E19" s="123">
        <v>14</v>
      </c>
      <c r="F19" s="37">
        <f>17+128</f>
        <v>145</v>
      </c>
      <c r="G19" s="37">
        <v>14</v>
      </c>
      <c r="H19" s="37">
        <v>0</v>
      </c>
      <c r="I19" s="37">
        <v>114</v>
      </c>
      <c r="J19" s="37">
        <v>58</v>
      </c>
      <c r="K19" s="37">
        <v>518</v>
      </c>
      <c r="L19" s="37">
        <v>57</v>
      </c>
      <c r="M19" s="37">
        <v>32</v>
      </c>
      <c r="N19" s="37">
        <v>28</v>
      </c>
      <c r="O19" s="37">
        <v>5</v>
      </c>
      <c r="P19" s="37">
        <v>9</v>
      </c>
      <c r="Q19" s="37">
        <v>5</v>
      </c>
      <c r="R19" s="37">
        <v>14</v>
      </c>
      <c r="S19" s="37">
        <v>368</v>
      </c>
      <c r="T19" s="37">
        <v>77</v>
      </c>
      <c r="U19" s="37">
        <v>12</v>
      </c>
      <c r="V19" s="59"/>
    </row>
    <row r="20" spans="1:22" ht="13.8" thickBot="1" x14ac:dyDescent="0.3">
      <c r="A20" s="38" t="s">
        <v>92</v>
      </c>
      <c r="B20" s="128">
        <f t="shared" si="0"/>
        <v>-0.77659963436928703</v>
      </c>
      <c r="C20" s="115">
        <v>-1915</v>
      </c>
      <c r="D20" s="43">
        <v>-1837</v>
      </c>
      <c r="E20" s="124">
        <f t="shared" ref="E20:J20" si="1">SUM(E2:E19)</f>
        <v>611</v>
      </c>
      <c r="F20" s="43">
        <f t="shared" si="1"/>
        <v>2735</v>
      </c>
      <c r="G20" s="43">
        <f t="shared" si="1"/>
        <v>3865</v>
      </c>
      <c r="H20" s="43">
        <f t="shared" si="1"/>
        <v>1402</v>
      </c>
      <c r="I20" s="43">
        <f t="shared" si="1"/>
        <v>624</v>
      </c>
      <c r="J20" s="43">
        <f t="shared" si="1"/>
        <v>4451</v>
      </c>
      <c r="K20" s="43">
        <v>1474</v>
      </c>
      <c r="L20" s="43">
        <f>SUM(L2:L19)</f>
        <v>3374</v>
      </c>
      <c r="M20" s="43">
        <f>SUM(M2:M19)</f>
        <v>3650</v>
      </c>
      <c r="N20" s="43">
        <f>SUM(N2:N19)</f>
        <v>1926</v>
      </c>
      <c r="O20" s="43">
        <f>SUM(O2:O19)</f>
        <v>1196</v>
      </c>
      <c r="P20" s="43">
        <f>SUM(P2:P19)</f>
        <v>473</v>
      </c>
      <c r="Q20" s="43">
        <f t="shared" ref="Q20:V20" si="2">SUM(Q2:Q19)</f>
        <v>1196</v>
      </c>
      <c r="R20" s="43">
        <f t="shared" si="2"/>
        <v>466</v>
      </c>
      <c r="S20" s="43">
        <f t="shared" si="2"/>
        <v>1347</v>
      </c>
      <c r="T20" s="43">
        <f t="shared" si="2"/>
        <v>1703</v>
      </c>
      <c r="U20" s="43">
        <f t="shared" si="2"/>
        <v>338</v>
      </c>
      <c r="V20" s="79">
        <f t="shared" si="2"/>
        <v>0</v>
      </c>
    </row>
    <row r="22" spans="1:22" ht="13.8" thickBot="1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s="46" customFormat="1" ht="13.8" thickBot="1" x14ac:dyDescent="0.3">
      <c r="A23" s="47" t="s">
        <v>121</v>
      </c>
      <c r="B23" s="24" t="s">
        <v>182</v>
      </c>
      <c r="C23" s="125" t="s">
        <v>183</v>
      </c>
      <c r="D23" s="69" t="s">
        <v>178</v>
      </c>
      <c r="E23" s="127">
        <v>45383</v>
      </c>
      <c r="F23" s="101">
        <v>45017</v>
      </c>
      <c r="G23" s="101">
        <v>44652</v>
      </c>
      <c r="H23" s="101">
        <v>44287</v>
      </c>
      <c r="I23" s="101">
        <v>43922</v>
      </c>
      <c r="J23" s="101">
        <v>43556</v>
      </c>
      <c r="K23" s="101">
        <v>43191</v>
      </c>
      <c r="L23" s="25">
        <v>42826</v>
      </c>
      <c r="M23" s="25">
        <v>42461</v>
      </c>
      <c r="N23" s="25">
        <v>42095</v>
      </c>
      <c r="O23" s="25">
        <v>41730</v>
      </c>
      <c r="P23" s="25">
        <v>41365</v>
      </c>
      <c r="Q23" s="25">
        <v>41000</v>
      </c>
      <c r="R23" s="25">
        <v>40634</v>
      </c>
      <c r="S23" s="25">
        <v>40269</v>
      </c>
      <c r="T23" s="25">
        <v>39904</v>
      </c>
      <c r="U23" s="25">
        <v>39539</v>
      </c>
      <c r="V23" s="26">
        <v>39173</v>
      </c>
    </row>
    <row r="24" spans="1:22" s="46" customFormat="1" x14ac:dyDescent="0.25">
      <c r="A24" s="48" t="s">
        <v>7</v>
      </c>
      <c r="B24" s="49" t="str">
        <f>IFERROR(((E24-F24)/F24),"")</f>
        <v/>
      </c>
      <c r="C24" s="110"/>
      <c r="D24" s="50">
        <v>0</v>
      </c>
      <c r="E24" s="126"/>
      <c r="F24" s="50"/>
      <c r="G24" s="50"/>
      <c r="H24" s="50">
        <v>0</v>
      </c>
      <c r="I24" s="50">
        <v>0</v>
      </c>
      <c r="J24" s="50">
        <v>28</v>
      </c>
      <c r="K24" s="50"/>
      <c r="L24" s="50"/>
      <c r="M24" s="50">
        <v>25</v>
      </c>
      <c r="N24" s="50">
        <v>0</v>
      </c>
      <c r="O24" s="50"/>
      <c r="P24" s="50">
        <v>0</v>
      </c>
      <c r="Q24" s="50">
        <v>0</v>
      </c>
      <c r="R24" s="50">
        <v>0</v>
      </c>
      <c r="S24" s="50">
        <v>0</v>
      </c>
      <c r="T24" s="50">
        <f>SUM(W24:X24)</f>
        <v>0</v>
      </c>
      <c r="U24" s="50">
        <f>B39</f>
        <v>0</v>
      </c>
      <c r="V24" s="60">
        <f>B61</f>
        <v>0</v>
      </c>
    </row>
    <row r="25" spans="1:22" s="46" customFormat="1" x14ac:dyDescent="0.25">
      <c r="A25" s="48" t="s">
        <v>156</v>
      </c>
      <c r="B25" s="49" t="str">
        <f>IFERROR(((E25-F25)/F25),"")</f>
        <v/>
      </c>
      <c r="C25" s="110"/>
      <c r="D25" s="50">
        <v>0</v>
      </c>
      <c r="E25" s="126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60"/>
    </row>
    <row r="26" spans="1:22" s="46" customFormat="1" ht="13.8" thickBot="1" x14ac:dyDescent="0.3">
      <c r="A26" s="48" t="s">
        <v>6</v>
      </c>
      <c r="B26" s="49" t="str">
        <f>IFERROR(((E26-F26)/F26),"")</f>
        <v/>
      </c>
      <c r="C26" s="110"/>
      <c r="D26" s="50">
        <v>0</v>
      </c>
      <c r="E26" s="126"/>
      <c r="F26" s="50"/>
      <c r="G26" s="50"/>
      <c r="H26" s="50">
        <v>0</v>
      </c>
      <c r="I26" s="50">
        <v>19</v>
      </c>
      <c r="J26" s="50">
        <v>93</v>
      </c>
      <c r="K26" s="50"/>
      <c r="L26" s="50">
        <v>0</v>
      </c>
      <c r="M26" s="50">
        <v>47</v>
      </c>
      <c r="N26" s="50">
        <v>0</v>
      </c>
      <c r="O26" s="50"/>
      <c r="P26" s="50">
        <v>0</v>
      </c>
      <c r="Q26" s="50">
        <v>0</v>
      </c>
      <c r="R26" s="50">
        <v>0</v>
      </c>
      <c r="S26" s="50">
        <v>0</v>
      </c>
      <c r="T26" s="50">
        <f>SUM(W26:X26)</f>
        <v>0</v>
      </c>
      <c r="U26" s="50">
        <v>0</v>
      </c>
      <c r="V26" s="60">
        <f>B70</f>
        <v>0</v>
      </c>
    </row>
    <row r="27" spans="1:22" s="46" customFormat="1" ht="13.8" thickBot="1" x14ac:dyDescent="0.3">
      <c r="A27" s="47" t="s">
        <v>92</v>
      </c>
      <c r="B27" s="56" t="str">
        <f>IFERROR(((E27-F27)/F27),"")</f>
        <v/>
      </c>
      <c r="C27" s="115"/>
      <c r="D27" s="74">
        <v>0</v>
      </c>
      <c r="E27" s="57"/>
      <c r="F27" s="74"/>
      <c r="G27" s="74"/>
      <c r="H27" s="74">
        <v>0</v>
      </c>
      <c r="I27" s="74">
        <f>SUM(I24:I26)</f>
        <v>19</v>
      </c>
      <c r="J27" s="74">
        <f>SUM(J24:J26)</f>
        <v>121</v>
      </c>
      <c r="K27" s="74">
        <v>0</v>
      </c>
      <c r="L27" s="74">
        <f>SUM(L26)</f>
        <v>0</v>
      </c>
      <c r="M27" s="74">
        <f>SUM(M24:M26)</f>
        <v>72</v>
      </c>
      <c r="N27" s="74">
        <f>SUM(N24:N26)</f>
        <v>0</v>
      </c>
      <c r="O27" s="74">
        <v>0</v>
      </c>
      <c r="P27" s="74">
        <f>SUM(P24:P26)</f>
        <v>0</v>
      </c>
      <c r="Q27" s="74">
        <v>0</v>
      </c>
      <c r="R27" s="74">
        <v>0</v>
      </c>
      <c r="S27" s="74">
        <v>0</v>
      </c>
      <c r="T27" s="74">
        <f>SUM(T24:T26)</f>
        <v>0</v>
      </c>
      <c r="U27" s="58">
        <f>SUM(U24:U26)</f>
        <v>0</v>
      </c>
      <c r="V27" s="62">
        <f>SUM(V24:V26)</f>
        <v>0</v>
      </c>
    </row>
    <row r="28" spans="1:22" s="46" customFormat="1" x14ac:dyDescent="0.25"/>
    <row r="29" spans="1:22" s="46" customFormat="1" x14ac:dyDescent="0.25">
      <c r="A29" s="46" t="s">
        <v>174</v>
      </c>
    </row>
    <row r="30" spans="1:22" s="46" customFormat="1" x14ac:dyDescent="0.25">
      <c r="A30" s="46" t="s">
        <v>173</v>
      </c>
    </row>
  </sheetData>
  <pageMargins left="0.75" right="0.75" top="1" bottom="1" header="0.5" footer="0.5"/>
  <pageSetup paperSize="9" scale="66" fitToHeight="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56"/>
  <sheetViews>
    <sheetView zoomScaleNormal="100" workbookViewId="0"/>
  </sheetViews>
  <sheetFormatPr defaultColWidth="8.77734375" defaultRowHeight="13.2" x14ac:dyDescent="0.25"/>
  <cols>
    <col min="1" max="1" width="24.77734375" customWidth="1"/>
    <col min="2" max="2" width="10.77734375" customWidth="1"/>
    <col min="3" max="4" width="11.6640625" bestFit="1" customWidth="1"/>
    <col min="5" max="10" width="11.6640625" customWidth="1"/>
    <col min="11" max="11" width="12.109375" customWidth="1"/>
    <col min="12" max="19" width="10.77734375" customWidth="1"/>
  </cols>
  <sheetData>
    <row r="1" spans="1:20" ht="13.8" thickBot="1" x14ac:dyDescent="0.3">
      <c r="A1" s="38" t="s">
        <v>24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6">
        <v>40269</v>
      </c>
    </row>
    <row r="2" spans="1:20" x14ac:dyDescent="0.25">
      <c r="A2" s="39" t="s">
        <v>120</v>
      </c>
      <c r="B2" s="44">
        <f t="shared" ref="B2:B26" si="0">IFERROR(((E2-F2)/F2),"")</f>
        <v>-0.24370335820895522</v>
      </c>
      <c r="C2" s="110">
        <v>-1123</v>
      </c>
      <c r="D2" s="37">
        <v>-4</v>
      </c>
      <c r="E2" s="123">
        <v>3243</v>
      </c>
      <c r="F2" s="37">
        <v>4288</v>
      </c>
      <c r="G2" s="37">
        <v>1826</v>
      </c>
      <c r="H2" s="37">
        <v>2002</v>
      </c>
      <c r="I2" s="37">
        <v>3204</v>
      </c>
      <c r="J2" s="37">
        <v>2389</v>
      </c>
      <c r="K2" s="37">
        <v>1367</v>
      </c>
      <c r="L2" s="90">
        <v>4481</v>
      </c>
      <c r="M2" s="90">
        <v>3650</v>
      </c>
      <c r="N2" s="90">
        <v>5089</v>
      </c>
      <c r="O2" s="90">
        <v>9919</v>
      </c>
      <c r="P2" s="90">
        <v>4061</v>
      </c>
      <c r="Q2" s="90">
        <v>7705</v>
      </c>
      <c r="R2" s="90">
        <v>5121</v>
      </c>
      <c r="S2" s="84">
        <v>4681</v>
      </c>
    </row>
    <row r="3" spans="1:20" x14ac:dyDescent="0.25">
      <c r="A3" s="39" t="s">
        <v>125</v>
      </c>
      <c r="B3" s="44">
        <f t="shared" si="0"/>
        <v>0.92913385826771655</v>
      </c>
      <c r="C3" s="110">
        <v>-4965</v>
      </c>
      <c r="D3" s="37">
        <v>-6156</v>
      </c>
      <c r="E3" s="123">
        <v>13965</v>
      </c>
      <c r="F3" s="37">
        <v>7239</v>
      </c>
      <c r="G3" s="37">
        <v>16045</v>
      </c>
      <c r="H3" s="37">
        <v>8082</v>
      </c>
      <c r="I3" s="37">
        <v>13489</v>
      </c>
      <c r="J3" s="37">
        <v>11055</v>
      </c>
      <c r="K3" s="37">
        <v>8107</v>
      </c>
      <c r="L3" s="90">
        <v>10731</v>
      </c>
      <c r="M3" s="90">
        <v>12003</v>
      </c>
      <c r="N3" s="90">
        <v>8836</v>
      </c>
      <c r="O3" s="90">
        <v>16819</v>
      </c>
      <c r="P3" s="90">
        <v>6814</v>
      </c>
      <c r="Q3" s="90">
        <v>10585</v>
      </c>
      <c r="R3" s="90">
        <v>10613</v>
      </c>
      <c r="S3" s="84">
        <v>11463</v>
      </c>
    </row>
    <row r="4" spans="1:20" x14ac:dyDescent="0.25">
      <c r="A4" s="39" t="s">
        <v>4</v>
      </c>
      <c r="B4" s="44">
        <f t="shared" si="0"/>
        <v>-0.89565217391304353</v>
      </c>
      <c r="C4" s="110">
        <v>-543</v>
      </c>
      <c r="D4" s="37">
        <v>-905</v>
      </c>
      <c r="E4" s="123">
        <v>60</v>
      </c>
      <c r="F4" s="37">
        <v>575</v>
      </c>
      <c r="G4" s="37">
        <v>216</v>
      </c>
      <c r="H4" s="37">
        <v>50</v>
      </c>
      <c r="I4" s="37">
        <v>239</v>
      </c>
      <c r="J4" s="37">
        <v>495</v>
      </c>
      <c r="K4" s="37">
        <v>111</v>
      </c>
      <c r="L4" s="37">
        <v>355</v>
      </c>
      <c r="M4" s="37">
        <v>321</v>
      </c>
      <c r="N4" s="37">
        <v>466</v>
      </c>
      <c r="O4" s="37">
        <v>474</v>
      </c>
      <c r="P4" s="37">
        <v>0</v>
      </c>
      <c r="Q4" s="37">
        <v>1823</v>
      </c>
      <c r="R4" s="37">
        <v>618</v>
      </c>
      <c r="S4" s="59">
        <v>1313</v>
      </c>
    </row>
    <row r="5" spans="1:20" x14ac:dyDescent="0.25">
      <c r="A5" s="39" t="s">
        <v>11</v>
      </c>
      <c r="B5" s="44">
        <f t="shared" si="0"/>
        <v>0.35294117647058826</v>
      </c>
      <c r="C5" s="110">
        <v>-4521</v>
      </c>
      <c r="D5" s="37">
        <v>-2782</v>
      </c>
      <c r="E5" s="123">
        <v>6578</v>
      </c>
      <c r="F5" s="37">
        <v>4862</v>
      </c>
      <c r="G5" s="37">
        <v>11303</v>
      </c>
      <c r="H5" s="37">
        <v>7434</v>
      </c>
      <c r="I5" s="37">
        <v>13643</v>
      </c>
      <c r="J5" s="37">
        <v>12526</v>
      </c>
      <c r="K5" s="37">
        <v>6837</v>
      </c>
      <c r="L5" s="37">
        <v>9657</v>
      </c>
      <c r="M5" s="37">
        <v>9282</v>
      </c>
      <c r="N5" s="37">
        <v>6854</v>
      </c>
      <c r="O5" s="37">
        <v>17116</v>
      </c>
      <c r="P5" s="37">
        <v>3480</v>
      </c>
      <c r="Q5" s="37">
        <v>17539</v>
      </c>
      <c r="R5" s="37">
        <v>13383</v>
      </c>
      <c r="S5" s="59">
        <v>23892</v>
      </c>
    </row>
    <row r="6" spans="1:20" x14ac:dyDescent="0.25">
      <c r="A6" s="39" t="s">
        <v>29</v>
      </c>
      <c r="B6" s="44" t="str">
        <f t="shared" si="0"/>
        <v/>
      </c>
      <c r="C6" s="110">
        <v>0</v>
      </c>
      <c r="D6" s="37">
        <v>0</v>
      </c>
      <c r="E6" s="123"/>
      <c r="F6" s="37"/>
      <c r="G6" s="37"/>
      <c r="H6" s="37"/>
      <c r="I6" s="37">
        <v>0</v>
      </c>
      <c r="J6" s="37"/>
      <c r="K6" s="37"/>
      <c r="L6" s="37"/>
      <c r="M6" s="37"/>
      <c r="N6" s="37"/>
      <c r="O6" s="37"/>
      <c r="P6" s="37"/>
      <c r="Q6" s="37">
        <v>851</v>
      </c>
      <c r="R6" s="37">
        <v>880</v>
      </c>
      <c r="S6" s="59">
        <v>1190</v>
      </c>
    </row>
    <row r="7" spans="1:20" x14ac:dyDescent="0.25">
      <c r="A7" s="39" t="s">
        <v>150</v>
      </c>
      <c r="B7" s="44">
        <f t="shared" si="0"/>
        <v>2.6361607142857144</v>
      </c>
      <c r="C7" s="110">
        <v>-297</v>
      </c>
      <c r="D7" s="37">
        <v>-1780</v>
      </c>
      <c r="E7" s="123">
        <v>3258</v>
      </c>
      <c r="F7" s="37">
        <v>896</v>
      </c>
      <c r="G7" s="37">
        <v>1541</v>
      </c>
      <c r="H7" s="37">
        <v>2617</v>
      </c>
      <c r="I7" s="37">
        <v>3136</v>
      </c>
      <c r="J7" s="37">
        <v>3610</v>
      </c>
      <c r="K7" s="37">
        <v>2669</v>
      </c>
      <c r="L7" s="37">
        <v>3257</v>
      </c>
      <c r="M7" s="37">
        <v>2865</v>
      </c>
      <c r="N7" s="37">
        <v>1920</v>
      </c>
      <c r="O7" s="37">
        <v>1145</v>
      </c>
      <c r="P7" s="37">
        <v>987</v>
      </c>
      <c r="Q7" s="37">
        <v>1591</v>
      </c>
      <c r="R7" s="37">
        <v>1556</v>
      </c>
      <c r="S7" s="59">
        <v>5</v>
      </c>
    </row>
    <row r="8" spans="1:20" x14ac:dyDescent="0.25">
      <c r="A8" s="39" t="s">
        <v>61</v>
      </c>
      <c r="B8" s="44">
        <f t="shared" si="0"/>
        <v>0.14463708879952536</v>
      </c>
      <c r="C8" s="110">
        <v>-32206</v>
      </c>
      <c r="D8" s="37">
        <v>-23987</v>
      </c>
      <c r="E8" s="123">
        <v>52089</v>
      </c>
      <c r="F8" s="37">
        <v>45507</v>
      </c>
      <c r="G8" s="37">
        <v>31811</v>
      </c>
      <c r="H8" s="37">
        <v>37550</v>
      </c>
      <c r="I8" s="37">
        <v>36477</v>
      </c>
      <c r="J8" s="37">
        <v>35323</v>
      </c>
      <c r="K8" s="37">
        <v>29855</v>
      </c>
      <c r="L8" s="37">
        <v>32441</v>
      </c>
      <c r="M8" s="37">
        <v>31147</v>
      </c>
      <c r="N8" s="37">
        <v>26727</v>
      </c>
      <c r="O8" s="37">
        <v>26910</v>
      </c>
      <c r="P8" s="37">
        <v>12737</v>
      </c>
      <c r="Q8" s="37">
        <v>21999</v>
      </c>
      <c r="R8" s="37">
        <v>19780</v>
      </c>
      <c r="S8" s="59">
        <v>19641</v>
      </c>
    </row>
    <row r="9" spans="1:20" x14ac:dyDescent="0.25">
      <c r="A9" s="39" t="s">
        <v>2</v>
      </c>
      <c r="B9" s="44">
        <f t="shared" si="0"/>
        <v>0.36290322580645162</v>
      </c>
      <c r="C9" s="110">
        <v>-809</v>
      </c>
      <c r="D9" s="37">
        <v>-344</v>
      </c>
      <c r="E9" s="123">
        <v>169</v>
      </c>
      <c r="F9" s="37">
        <v>124</v>
      </c>
      <c r="G9" s="37">
        <v>232</v>
      </c>
      <c r="H9" s="37">
        <v>243</v>
      </c>
      <c r="I9" s="37">
        <v>438</v>
      </c>
      <c r="J9" s="37">
        <v>390</v>
      </c>
      <c r="K9" s="37">
        <v>156</v>
      </c>
      <c r="L9" s="37">
        <v>332</v>
      </c>
      <c r="M9" s="37">
        <v>164</v>
      </c>
      <c r="N9" s="37">
        <v>180</v>
      </c>
      <c r="O9" s="37">
        <v>205</v>
      </c>
      <c r="P9" s="37">
        <v>340</v>
      </c>
      <c r="Q9" s="37">
        <v>240</v>
      </c>
      <c r="R9" s="37">
        <v>456</v>
      </c>
      <c r="S9" s="59">
        <v>288</v>
      </c>
    </row>
    <row r="10" spans="1:20" x14ac:dyDescent="0.25">
      <c r="A10" s="39" t="s">
        <v>12</v>
      </c>
      <c r="B10" s="44">
        <f t="shared" si="0"/>
        <v>1.1760694358338499</v>
      </c>
      <c r="C10" s="110">
        <v>-5698</v>
      </c>
      <c r="D10" s="37">
        <v>-5226</v>
      </c>
      <c r="E10" s="123">
        <v>7020</v>
      </c>
      <c r="F10" s="37">
        <v>3226</v>
      </c>
      <c r="G10" s="37">
        <v>16024</v>
      </c>
      <c r="H10" s="37">
        <v>4670</v>
      </c>
      <c r="I10" s="37">
        <v>15553</v>
      </c>
      <c r="J10" s="37">
        <v>9067</v>
      </c>
      <c r="K10" s="37">
        <v>10232</v>
      </c>
      <c r="L10" s="37">
        <v>6641</v>
      </c>
      <c r="M10" s="37">
        <v>7783</v>
      </c>
      <c r="N10" s="37">
        <v>4763</v>
      </c>
      <c r="O10" s="37">
        <v>14021</v>
      </c>
      <c r="P10" s="37">
        <v>5643</v>
      </c>
      <c r="Q10" s="37">
        <v>8962</v>
      </c>
      <c r="R10" s="37">
        <v>10853</v>
      </c>
      <c r="S10" s="59">
        <v>8033</v>
      </c>
    </row>
    <row r="11" spans="1:20" x14ac:dyDescent="0.25">
      <c r="A11" s="39" t="s">
        <v>9</v>
      </c>
      <c r="B11" s="44">
        <f t="shared" si="0"/>
        <v>1.9829790801995557E-2</v>
      </c>
      <c r="C11" s="110">
        <v>-9164</v>
      </c>
      <c r="D11" s="37">
        <v>-16919</v>
      </c>
      <c r="E11" s="123">
        <v>24326</v>
      </c>
      <c r="F11" s="37">
        <v>23853</v>
      </c>
      <c r="G11" s="37">
        <v>35760</v>
      </c>
      <c r="H11" s="37">
        <v>32305</v>
      </c>
      <c r="I11" s="37">
        <v>32736</v>
      </c>
      <c r="J11" s="37">
        <v>39505</v>
      </c>
      <c r="K11" s="37">
        <v>18601</v>
      </c>
      <c r="L11" s="37">
        <v>17921</v>
      </c>
      <c r="M11" s="37">
        <v>11011</v>
      </c>
      <c r="N11" s="37">
        <v>13880</v>
      </c>
      <c r="O11" s="37">
        <v>13303</v>
      </c>
      <c r="P11" s="37">
        <v>7253</v>
      </c>
      <c r="Q11" s="37">
        <v>9652</v>
      </c>
      <c r="R11" s="37">
        <v>11214</v>
      </c>
      <c r="S11" s="59">
        <v>6833</v>
      </c>
    </row>
    <row r="12" spans="1:20" x14ac:dyDescent="0.25">
      <c r="A12" s="39" t="s">
        <v>3</v>
      </c>
      <c r="B12" s="44">
        <f t="shared" si="0"/>
        <v>0.28416357065231129</v>
      </c>
      <c r="C12" s="110">
        <v>-25858</v>
      </c>
      <c r="D12" s="37">
        <v>-31055</v>
      </c>
      <c r="E12" s="123">
        <v>101621</v>
      </c>
      <c r="F12" s="37">
        <v>79134</v>
      </c>
      <c r="G12" s="37">
        <v>90266</v>
      </c>
      <c r="H12" s="37">
        <v>75402</v>
      </c>
      <c r="I12" s="37">
        <v>127906</v>
      </c>
      <c r="J12" s="37">
        <v>115089</v>
      </c>
      <c r="K12" s="37">
        <v>107122</v>
      </c>
      <c r="L12" s="37">
        <v>125657</v>
      </c>
      <c r="M12" s="37">
        <v>125061</v>
      </c>
      <c r="N12" s="37">
        <v>123469</v>
      </c>
      <c r="O12" s="37">
        <v>151601</v>
      </c>
      <c r="P12" s="37">
        <v>64896</v>
      </c>
      <c r="Q12" s="37">
        <v>122884</v>
      </c>
      <c r="R12" s="37">
        <v>128701</v>
      </c>
      <c r="S12" s="59">
        <v>142950</v>
      </c>
    </row>
    <row r="13" spans="1:20" x14ac:dyDescent="0.25">
      <c r="A13" s="39" t="s">
        <v>136</v>
      </c>
      <c r="B13" s="44">
        <f t="shared" si="0"/>
        <v>0.39876352395672332</v>
      </c>
      <c r="C13" s="110">
        <v>-870</v>
      </c>
      <c r="D13" s="37">
        <v>-667</v>
      </c>
      <c r="E13" s="123">
        <v>1810</v>
      </c>
      <c r="F13" s="37">
        <v>1294</v>
      </c>
      <c r="G13" s="37">
        <v>1793</v>
      </c>
      <c r="H13" s="37">
        <v>1581</v>
      </c>
      <c r="I13" s="37">
        <v>1898</v>
      </c>
      <c r="J13" s="37">
        <v>1256</v>
      </c>
      <c r="K13" s="37">
        <v>916</v>
      </c>
      <c r="L13" s="37">
        <v>937</v>
      </c>
      <c r="M13" s="37">
        <v>1041</v>
      </c>
      <c r="N13" s="37">
        <v>1266</v>
      </c>
      <c r="O13" s="37">
        <v>1550</v>
      </c>
      <c r="P13" s="37">
        <v>1151</v>
      </c>
      <c r="Q13" s="37">
        <v>1255</v>
      </c>
      <c r="R13" s="37">
        <v>1342</v>
      </c>
      <c r="S13" s="59">
        <v>1312</v>
      </c>
    </row>
    <row r="14" spans="1:20" x14ac:dyDescent="0.25">
      <c r="A14" s="39" t="s">
        <v>17</v>
      </c>
      <c r="B14" s="44">
        <f t="shared" si="0"/>
        <v>-0.13205233033524122</v>
      </c>
      <c r="C14" s="110">
        <v>-11095</v>
      </c>
      <c r="D14" s="37">
        <v>-12872</v>
      </c>
      <c r="E14" s="123">
        <v>21230</v>
      </c>
      <c r="F14" s="37">
        <v>24460</v>
      </c>
      <c r="G14" s="37">
        <v>29256</v>
      </c>
      <c r="H14" s="37">
        <v>32652</v>
      </c>
      <c r="I14" s="37">
        <v>30582</v>
      </c>
      <c r="J14" s="37">
        <v>30581</v>
      </c>
      <c r="K14" s="37">
        <v>32645</v>
      </c>
      <c r="L14" s="37">
        <v>21723</v>
      </c>
      <c r="M14" s="37">
        <v>36609</v>
      </c>
      <c r="N14" s="37">
        <v>27334</v>
      </c>
      <c r="O14" s="37">
        <v>36919</v>
      </c>
      <c r="P14" s="37">
        <v>19951</v>
      </c>
      <c r="Q14" s="37">
        <v>23465</v>
      </c>
      <c r="R14" s="37">
        <v>18323</v>
      </c>
      <c r="S14" s="59">
        <v>24187</v>
      </c>
    </row>
    <row r="15" spans="1:20" x14ac:dyDescent="0.25">
      <c r="A15" s="39" t="s">
        <v>128</v>
      </c>
      <c r="B15" s="44">
        <f t="shared" si="0"/>
        <v>8.5646780862374483E-2</v>
      </c>
      <c r="C15" s="110">
        <v>-1407</v>
      </c>
      <c r="D15" s="37">
        <v>-1424</v>
      </c>
      <c r="E15" s="123">
        <v>3676</v>
      </c>
      <c r="F15" s="37">
        <v>3386</v>
      </c>
      <c r="G15" s="37">
        <v>5414</v>
      </c>
      <c r="H15" s="37">
        <v>253</v>
      </c>
      <c r="I15" s="37">
        <v>3131</v>
      </c>
      <c r="J15" s="37">
        <v>914</v>
      </c>
      <c r="K15" s="37">
        <v>763</v>
      </c>
      <c r="L15" s="37">
        <v>1055</v>
      </c>
      <c r="M15" s="37">
        <v>629</v>
      </c>
      <c r="N15" s="37">
        <v>3153</v>
      </c>
      <c r="O15" s="37">
        <v>2251</v>
      </c>
      <c r="P15" s="37">
        <v>939</v>
      </c>
      <c r="Q15" s="37">
        <v>427</v>
      </c>
      <c r="R15" s="37">
        <v>723</v>
      </c>
      <c r="S15" s="59">
        <v>128</v>
      </c>
    </row>
    <row r="16" spans="1:20" x14ac:dyDescent="0.25">
      <c r="A16" s="39" t="s">
        <v>10</v>
      </c>
      <c r="B16" s="44" t="str">
        <f t="shared" si="0"/>
        <v/>
      </c>
      <c r="C16" s="110">
        <v>0</v>
      </c>
      <c r="D16" s="37">
        <v>0</v>
      </c>
      <c r="E16" s="123"/>
      <c r="F16" s="37"/>
      <c r="G16" s="37">
        <v>325</v>
      </c>
      <c r="H16" s="37">
        <v>894</v>
      </c>
      <c r="I16" s="37">
        <v>932</v>
      </c>
      <c r="J16" s="37">
        <v>709</v>
      </c>
      <c r="K16" s="37">
        <v>333</v>
      </c>
      <c r="L16" s="37">
        <v>776</v>
      </c>
      <c r="M16" s="37">
        <v>616</v>
      </c>
      <c r="N16" s="37">
        <v>638</v>
      </c>
      <c r="O16" s="37">
        <v>993</v>
      </c>
      <c r="P16" s="37">
        <v>641</v>
      </c>
      <c r="Q16" s="37">
        <v>1169</v>
      </c>
      <c r="R16" s="37">
        <v>1225</v>
      </c>
      <c r="S16" s="59">
        <v>1772</v>
      </c>
      <c r="T16" s="1"/>
    </row>
    <row r="17" spans="1:20" x14ac:dyDescent="0.25">
      <c r="A17" s="39" t="s">
        <v>127</v>
      </c>
      <c r="B17" s="44">
        <f t="shared" si="0"/>
        <v>-6.6435635195672388E-2</v>
      </c>
      <c r="C17" s="110">
        <v>-4644</v>
      </c>
      <c r="D17" s="37">
        <v>-3923</v>
      </c>
      <c r="E17" s="123">
        <v>11045</v>
      </c>
      <c r="F17" s="37">
        <v>11831</v>
      </c>
      <c r="G17" s="37">
        <v>20193</v>
      </c>
      <c r="H17" s="37">
        <v>5444</v>
      </c>
      <c r="I17" s="37">
        <v>10481</v>
      </c>
      <c r="J17" s="37">
        <v>6321</v>
      </c>
      <c r="K17" s="37">
        <v>6462</v>
      </c>
      <c r="L17" s="37">
        <v>4123</v>
      </c>
      <c r="M17" s="37">
        <v>3494</v>
      </c>
      <c r="N17" s="37">
        <v>2995</v>
      </c>
      <c r="O17" s="37">
        <v>2918</v>
      </c>
      <c r="P17" s="37">
        <v>1011</v>
      </c>
      <c r="Q17" s="37">
        <v>1706</v>
      </c>
      <c r="R17" s="37">
        <v>2488</v>
      </c>
      <c r="S17" s="59">
        <v>6570</v>
      </c>
      <c r="T17" s="1"/>
    </row>
    <row r="18" spans="1:20" x14ac:dyDescent="0.25">
      <c r="A18" s="39" t="s">
        <v>27</v>
      </c>
      <c r="B18" s="44">
        <f t="shared" si="0"/>
        <v>0.86503623188405798</v>
      </c>
      <c r="C18" s="110">
        <v>-2188</v>
      </c>
      <c r="D18" s="37">
        <v>-1528</v>
      </c>
      <c r="E18" s="123">
        <v>10295</v>
      </c>
      <c r="F18" s="37">
        <v>5520</v>
      </c>
      <c r="G18" s="37">
        <v>11922</v>
      </c>
      <c r="H18" s="37">
        <v>8080</v>
      </c>
      <c r="I18" s="37">
        <v>11500</v>
      </c>
      <c r="J18" s="37">
        <v>9649</v>
      </c>
      <c r="K18" s="37">
        <v>7229</v>
      </c>
      <c r="L18" s="37">
        <v>6497</v>
      </c>
      <c r="M18" s="37">
        <v>6327</v>
      </c>
      <c r="N18" s="37">
        <v>2945</v>
      </c>
      <c r="O18" s="37">
        <v>5106</v>
      </c>
      <c r="P18" s="37">
        <v>1802</v>
      </c>
      <c r="Q18" s="37">
        <v>4996</v>
      </c>
      <c r="R18" s="37">
        <v>5389</v>
      </c>
      <c r="S18" s="59">
        <v>7756</v>
      </c>
      <c r="T18" s="1"/>
    </row>
    <row r="19" spans="1:20" x14ac:dyDescent="0.25">
      <c r="A19" s="39" t="s">
        <v>126</v>
      </c>
      <c r="B19" s="44">
        <f t="shared" si="0"/>
        <v>0.17215891592238991</v>
      </c>
      <c r="C19" s="110">
        <v>-641</v>
      </c>
      <c r="D19" s="37">
        <v>-1921</v>
      </c>
      <c r="E19" s="123">
        <v>3806</v>
      </c>
      <c r="F19" s="37">
        <v>3247</v>
      </c>
      <c r="G19" s="37">
        <v>5659</v>
      </c>
      <c r="H19" s="37">
        <v>5200</v>
      </c>
      <c r="I19" s="37">
        <v>9976</v>
      </c>
      <c r="J19" s="37">
        <v>7071</v>
      </c>
      <c r="K19" s="37">
        <v>5908</v>
      </c>
      <c r="L19" s="37">
        <v>5616</v>
      </c>
      <c r="M19" s="37">
        <v>4735</v>
      </c>
      <c r="N19" s="37">
        <v>2911</v>
      </c>
      <c r="O19" s="37">
        <v>7500</v>
      </c>
      <c r="P19" s="37">
        <v>1570</v>
      </c>
      <c r="Q19" s="37">
        <v>2340</v>
      </c>
      <c r="R19" s="37">
        <v>4278</v>
      </c>
      <c r="S19" s="59">
        <v>6595</v>
      </c>
    </row>
    <row r="20" spans="1:20" x14ac:dyDescent="0.25">
      <c r="A20" s="39" t="s">
        <v>119</v>
      </c>
      <c r="B20" s="44">
        <f t="shared" si="0"/>
        <v>-0.40625</v>
      </c>
      <c r="C20" s="110">
        <v>-182</v>
      </c>
      <c r="D20" s="37">
        <v>-5</v>
      </c>
      <c r="E20" s="123">
        <v>19</v>
      </c>
      <c r="F20" s="37">
        <v>32</v>
      </c>
      <c r="G20" s="37">
        <v>22</v>
      </c>
      <c r="H20" s="37">
        <v>122</v>
      </c>
      <c r="I20" s="37">
        <v>153</v>
      </c>
      <c r="J20" s="37">
        <v>0</v>
      </c>
      <c r="K20" s="37">
        <v>0</v>
      </c>
      <c r="L20" s="37">
        <v>0</v>
      </c>
      <c r="M20" s="37">
        <v>11</v>
      </c>
      <c r="N20" s="37">
        <v>13</v>
      </c>
      <c r="O20" s="37">
        <v>27</v>
      </c>
      <c r="P20" s="37">
        <v>2</v>
      </c>
      <c r="Q20" s="37">
        <v>21</v>
      </c>
      <c r="R20" s="37">
        <v>58</v>
      </c>
      <c r="S20" s="59">
        <v>2</v>
      </c>
    </row>
    <row r="21" spans="1:20" x14ac:dyDescent="0.25">
      <c r="A21" s="39" t="s">
        <v>88</v>
      </c>
      <c r="B21" s="44">
        <f t="shared" si="0"/>
        <v>0.19401744910677191</v>
      </c>
      <c r="C21" s="110">
        <v>-4330</v>
      </c>
      <c r="D21" s="37">
        <v>-5353</v>
      </c>
      <c r="E21" s="123">
        <v>2874</v>
      </c>
      <c r="F21" s="37">
        <v>2407</v>
      </c>
      <c r="G21" s="37">
        <v>6976</v>
      </c>
      <c r="H21" s="37">
        <v>2022</v>
      </c>
      <c r="I21" s="37">
        <v>4638</v>
      </c>
      <c r="J21" s="37">
        <v>4719</v>
      </c>
      <c r="K21" s="37">
        <v>2336</v>
      </c>
      <c r="L21" s="37">
        <v>2795</v>
      </c>
      <c r="M21" s="37">
        <v>4188</v>
      </c>
      <c r="N21" s="37">
        <v>2688</v>
      </c>
      <c r="O21" s="37">
        <v>10463</v>
      </c>
      <c r="P21" s="37">
        <v>1169</v>
      </c>
      <c r="Q21" s="37">
        <v>7206</v>
      </c>
      <c r="R21" s="37">
        <v>6008</v>
      </c>
      <c r="S21" s="59">
        <v>6550</v>
      </c>
    </row>
    <row r="22" spans="1:20" x14ac:dyDescent="0.25">
      <c r="A22" s="39" t="s">
        <v>115</v>
      </c>
      <c r="B22" s="44" t="str">
        <f t="shared" si="0"/>
        <v/>
      </c>
      <c r="C22" s="110">
        <v>0</v>
      </c>
      <c r="D22" s="37">
        <v>0</v>
      </c>
      <c r="E22" s="123"/>
      <c r="F22" s="37"/>
      <c r="G22" s="37">
        <v>233</v>
      </c>
      <c r="H22" s="37">
        <v>220</v>
      </c>
      <c r="I22" s="37">
        <v>668</v>
      </c>
      <c r="J22" s="37">
        <v>249</v>
      </c>
      <c r="K22" s="37">
        <v>87</v>
      </c>
      <c r="L22" s="37">
        <v>47</v>
      </c>
      <c r="M22" s="37">
        <v>276</v>
      </c>
      <c r="N22" s="37">
        <v>77</v>
      </c>
      <c r="O22" s="37">
        <v>612</v>
      </c>
      <c r="P22" s="37">
        <v>47</v>
      </c>
      <c r="Q22" s="37">
        <v>526</v>
      </c>
      <c r="R22" s="37">
        <v>110</v>
      </c>
      <c r="S22" s="59">
        <v>619</v>
      </c>
    </row>
    <row r="23" spans="1:20" x14ac:dyDescent="0.25">
      <c r="A23" s="39" t="s">
        <v>129</v>
      </c>
      <c r="B23" s="44" t="str">
        <f t="shared" si="0"/>
        <v/>
      </c>
      <c r="C23" s="110">
        <v>0</v>
      </c>
      <c r="D23" s="37">
        <v>0</v>
      </c>
      <c r="E23" s="123"/>
      <c r="F23" s="37"/>
      <c r="G23" s="37">
        <v>10232</v>
      </c>
      <c r="H23" s="37">
        <v>7403</v>
      </c>
      <c r="I23" s="37">
        <v>8816</v>
      </c>
      <c r="J23" s="37">
        <v>7145</v>
      </c>
      <c r="K23" s="37">
        <v>5320</v>
      </c>
      <c r="L23" s="37">
        <v>4816</v>
      </c>
      <c r="M23" s="37">
        <v>4121</v>
      </c>
      <c r="N23" s="37">
        <v>5445</v>
      </c>
      <c r="O23" s="37">
        <v>4683</v>
      </c>
      <c r="P23" s="37">
        <v>2855</v>
      </c>
      <c r="Q23" s="37">
        <v>4507</v>
      </c>
      <c r="R23" s="37">
        <v>1341</v>
      </c>
      <c r="S23" s="59">
        <v>1197</v>
      </c>
    </row>
    <row r="24" spans="1:20" x14ac:dyDescent="0.25">
      <c r="A24" s="39" t="s">
        <v>124</v>
      </c>
      <c r="B24" s="44">
        <f t="shared" si="0"/>
        <v>-0.72756410256410253</v>
      </c>
      <c r="C24" s="110">
        <v>-686</v>
      </c>
      <c r="D24" s="37">
        <v>-337</v>
      </c>
      <c r="E24" s="123">
        <v>340</v>
      </c>
      <c r="F24" s="37">
        <v>1248</v>
      </c>
      <c r="G24" s="37">
        <v>1418</v>
      </c>
      <c r="H24" s="37">
        <v>727</v>
      </c>
      <c r="I24" s="37">
        <v>1109</v>
      </c>
      <c r="J24" s="37">
        <v>1492</v>
      </c>
      <c r="K24" s="37">
        <v>900</v>
      </c>
      <c r="L24" s="37">
        <v>2103</v>
      </c>
      <c r="M24" s="37">
        <v>1433</v>
      </c>
      <c r="N24" s="37">
        <v>964</v>
      </c>
      <c r="O24" s="37">
        <v>2199</v>
      </c>
      <c r="P24" s="37">
        <v>1136</v>
      </c>
      <c r="Q24" s="37">
        <v>2161</v>
      </c>
      <c r="R24" s="37">
        <v>1060</v>
      </c>
      <c r="S24" s="59">
        <v>1938</v>
      </c>
    </row>
    <row r="25" spans="1:20" ht="13.8" thickBot="1" x14ac:dyDescent="0.3">
      <c r="A25" s="39" t="s">
        <v>6</v>
      </c>
      <c r="B25" s="44">
        <f t="shared" si="0"/>
        <v>5.457757391681646E-2</v>
      </c>
      <c r="C25" s="110">
        <v>-13466</v>
      </c>
      <c r="D25" s="37">
        <v>-14433</v>
      </c>
      <c r="E25" s="123">
        <v>34027</v>
      </c>
      <c r="F25" s="37">
        <v>32266</v>
      </c>
      <c r="G25" s="37">
        <v>7082</v>
      </c>
      <c r="H25" s="37">
        <v>9423</v>
      </c>
      <c r="I25" s="37">
        <v>5057</v>
      </c>
      <c r="J25" s="37">
        <v>5454</v>
      </c>
      <c r="K25" s="37">
        <v>1969</v>
      </c>
      <c r="L25" s="37">
        <v>1752</v>
      </c>
      <c r="M25" s="37">
        <v>991</v>
      </c>
      <c r="N25" s="37">
        <v>1736</v>
      </c>
      <c r="O25" s="37">
        <v>4218</v>
      </c>
      <c r="P25" s="37">
        <v>3302</v>
      </c>
      <c r="Q25" s="37">
        <v>1060</v>
      </c>
      <c r="R25" s="37">
        <v>4609</v>
      </c>
      <c r="S25" s="59">
        <v>6774</v>
      </c>
    </row>
    <row r="26" spans="1:20" ht="13.8" thickBot="1" x14ac:dyDescent="0.3">
      <c r="A26" s="38" t="s">
        <v>92</v>
      </c>
      <c r="B26" s="128">
        <f t="shared" si="0"/>
        <v>0.18033242624170404</v>
      </c>
      <c r="C26" s="115">
        <v>-124693</v>
      </c>
      <c r="D26" s="43">
        <v>-131621</v>
      </c>
      <c r="E26" s="124">
        <f t="shared" ref="E26:M26" si="1">SUM(E2:E25)</f>
        <v>301451</v>
      </c>
      <c r="F26" s="43">
        <f t="shared" si="1"/>
        <v>255395</v>
      </c>
      <c r="G26" s="43">
        <f t="shared" si="1"/>
        <v>305549</v>
      </c>
      <c r="H26" s="43">
        <f t="shared" si="1"/>
        <v>244376</v>
      </c>
      <c r="I26" s="43">
        <f t="shared" si="1"/>
        <v>335762</v>
      </c>
      <c r="J26" s="43">
        <f t="shared" si="1"/>
        <v>305009</v>
      </c>
      <c r="K26" s="99">
        <f t="shared" si="1"/>
        <v>249925</v>
      </c>
      <c r="L26" s="43">
        <f t="shared" si="1"/>
        <v>263713</v>
      </c>
      <c r="M26" s="43">
        <f t="shared" si="1"/>
        <v>267758</v>
      </c>
      <c r="N26" s="43">
        <f t="shared" ref="N26:S26" si="2">SUM(N2:N25)</f>
        <v>244349</v>
      </c>
      <c r="O26" s="43">
        <f t="shared" si="2"/>
        <v>330952</v>
      </c>
      <c r="P26" s="43">
        <f t="shared" si="2"/>
        <v>141787</v>
      </c>
      <c r="Q26" s="43">
        <f t="shared" si="2"/>
        <v>254670</v>
      </c>
      <c r="R26" s="43">
        <f t="shared" si="2"/>
        <v>250129</v>
      </c>
      <c r="S26" s="79">
        <f t="shared" si="2"/>
        <v>285689</v>
      </c>
    </row>
    <row r="28" spans="1:20" s="46" customFormat="1" ht="13.8" thickBot="1" x14ac:dyDescent="0.3">
      <c r="A28" s="67"/>
    </row>
    <row r="29" spans="1:20" s="46" customFormat="1" ht="13.8" thickBot="1" x14ac:dyDescent="0.3">
      <c r="A29" s="38" t="s">
        <v>25</v>
      </c>
      <c r="B29" s="24" t="s">
        <v>182</v>
      </c>
      <c r="C29" s="125" t="s">
        <v>183</v>
      </c>
      <c r="D29" s="69" t="s">
        <v>178</v>
      </c>
      <c r="E29" s="127">
        <v>45383</v>
      </c>
      <c r="F29" s="101">
        <v>45017</v>
      </c>
      <c r="G29" s="101">
        <v>44652</v>
      </c>
      <c r="H29" s="101">
        <v>44287</v>
      </c>
      <c r="I29" s="101">
        <v>43922</v>
      </c>
      <c r="J29" s="101">
        <v>43556</v>
      </c>
      <c r="K29" s="101">
        <v>43191</v>
      </c>
      <c r="L29" s="25">
        <v>42826</v>
      </c>
      <c r="M29" s="25">
        <v>42461</v>
      </c>
      <c r="N29" s="25">
        <v>42095</v>
      </c>
      <c r="O29" s="25">
        <v>41730</v>
      </c>
      <c r="P29" s="25">
        <v>41365</v>
      </c>
      <c r="Q29" s="25">
        <v>41000</v>
      </c>
      <c r="R29" s="25">
        <v>40634</v>
      </c>
      <c r="S29" s="26">
        <v>40269</v>
      </c>
    </row>
    <row r="30" spans="1:20" x14ac:dyDescent="0.25">
      <c r="A30" s="48" t="s">
        <v>137</v>
      </c>
      <c r="B30" s="44">
        <f t="shared" ref="B30:B38" si="3">IFERROR(((E30-F30)/F30),"")</f>
        <v>5.897260273972603</v>
      </c>
      <c r="C30" s="110">
        <v>-914</v>
      </c>
      <c r="D30" s="37">
        <v>-211</v>
      </c>
      <c r="E30" s="123">
        <v>1007</v>
      </c>
      <c r="F30" s="37">
        <v>146</v>
      </c>
      <c r="G30" s="37">
        <v>80</v>
      </c>
      <c r="H30" s="37">
        <v>605</v>
      </c>
      <c r="I30" s="37">
        <v>179</v>
      </c>
      <c r="J30" s="37">
        <v>271</v>
      </c>
      <c r="K30" s="37">
        <v>477</v>
      </c>
      <c r="L30" s="90">
        <v>587</v>
      </c>
      <c r="M30" s="90">
        <v>143</v>
      </c>
      <c r="N30" s="90">
        <v>1440</v>
      </c>
      <c r="O30" s="90">
        <v>1719</v>
      </c>
      <c r="P30" s="90">
        <v>34</v>
      </c>
      <c r="Q30" s="90">
        <v>2282</v>
      </c>
      <c r="R30" s="90"/>
      <c r="S30" s="84"/>
    </row>
    <row r="31" spans="1:20" x14ac:dyDescent="0.25">
      <c r="A31" s="48" t="s">
        <v>138</v>
      </c>
      <c r="B31" s="44" t="str">
        <f t="shared" si="3"/>
        <v/>
      </c>
      <c r="C31" s="110">
        <v>0</v>
      </c>
      <c r="D31" s="37">
        <v>0</v>
      </c>
      <c r="E31" s="123"/>
      <c r="F31" s="37"/>
      <c r="G31" s="37"/>
      <c r="H31" s="37"/>
      <c r="I31" s="37"/>
      <c r="J31" s="37"/>
      <c r="K31" s="37"/>
      <c r="L31" s="90"/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/>
      <c r="S31" s="84"/>
    </row>
    <row r="32" spans="1:20" x14ac:dyDescent="0.25">
      <c r="A32" s="48" t="s">
        <v>7</v>
      </c>
      <c r="B32" s="44">
        <f t="shared" si="3"/>
        <v>0.46982758620689657</v>
      </c>
      <c r="C32" s="110">
        <v>-778</v>
      </c>
      <c r="D32" s="37">
        <v>-303</v>
      </c>
      <c r="E32" s="123">
        <v>341</v>
      </c>
      <c r="F32" s="37">
        <v>232</v>
      </c>
      <c r="G32" s="37">
        <v>271</v>
      </c>
      <c r="H32" s="37">
        <v>456</v>
      </c>
      <c r="I32" s="37">
        <v>659</v>
      </c>
      <c r="J32" s="37">
        <v>874</v>
      </c>
      <c r="K32" s="37">
        <v>766</v>
      </c>
      <c r="L32" s="37">
        <v>482</v>
      </c>
      <c r="M32" s="37">
        <v>478</v>
      </c>
      <c r="N32" s="37">
        <v>549</v>
      </c>
      <c r="O32" s="37">
        <v>105</v>
      </c>
      <c r="P32" s="37">
        <v>171</v>
      </c>
      <c r="Q32" s="37">
        <v>1254</v>
      </c>
      <c r="R32" s="37"/>
      <c r="S32" s="59"/>
    </row>
    <row r="33" spans="1:19" x14ac:dyDescent="0.25">
      <c r="A33" s="48" t="s">
        <v>93</v>
      </c>
      <c r="B33" s="44">
        <f t="shared" si="3"/>
        <v>0.6</v>
      </c>
      <c r="C33" s="110">
        <v>-119</v>
      </c>
      <c r="D33" s="37">
        <v>-125</v>
      </c>
      <c r="E33" s="123">
        <v>16</v>
      </c>
      <c r="F33" s="37">
        <v>10</v>
      </c>
      <c r="G33" s="37">
        <v>1</v>
      </c>
      <c r="H33" s="37">
        <v>8</v>
      </c>
      <c r="I33" s="37">
        <v>38</v>
      </c>
      <c r="J33" s="37">
        <v>230</v>
      </c>
      <c r="K33" s="37">
        <v>163</v>
      </c>
      <c r="L33" s="37">
        <v>50</v>
      </c>
      <c r="M33" s="37">
        <v>102</v>
      </c>
      <c r="N33" s="37">
        <v>39</v>
      </c>
      <c r="O33" s="37">
        <v>11</v>
      </c>
      <c r="P33" s="37">
        <v>6</v>
      </c>
      <c r="Q33" s="37">
        <v>139</v>
      </c>
      <c r="R33" s="37"/>
      <c r="S33" s="59"/>
    </row>
    <row r="34" spans="1:19" x14ac:dyDescent="0.25">
      <c r="A34" s="48" t="s">
        <v>139</v>
      </c>
      <c r="B34" s="44" t="str">
        <f t="shared" si="3"/>
        <v/>
      </c>
      <c r="C34" s="110">
        <v>0</v>
      </c>
      <c r="D34" s="37">
        <v>0</v>
      </c>
      <c r="E34" s="123"/>
      <c r="F34" s="37"/>
      <c r="G34" s="37"/>
      <c r="H34" s="37"/>
      <c r="I34" s="37">
        <v>0</v>
      </c>
      <c r="J34" s="37"/>
      <c r="K34" s="37"/>
      <c r="L34" s="37"/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/>
      <c r="S34" s="59"/>
    </row>
    <row r="35" spans="1:19" x14ac:dyDescent="0.25">
      <c r="A35" s="48" t="s">
        <v>140</v>
      </c>
      <c r="B35" s="44">
        <f t="shared" si="3"/>
        <v>-0.5357142857142857</v>
      </c>
      <c r="C35" s="110">
        <v>-83</v>
      </c>
      <c r="D35" s="37">
        <v>-212</v>
      </c>
      <c r="E35" s="123">
        <v>13</v>
      </c>
      <c r="F35" s="37">
        <v>28</v>
      </c>
      <c r="G35" s="37">
        <v>18</v>
      </c>
      <c r="H35" s="37"/>
      <c r="I35" s="37">
        <v>19</v>
      </c>
      <c r="J35" s="37">
        <v>305</v>
      </c>
      <c r="K35" s="37">
        <v>65</v>
      </c>
      <c r="L35" s="37">
        <v>29</v>
      </c>
      <c r="M35" s="37">
        <v>94</v>
      </c>
      <c r="N35" s="37">
        <v>38</v>
      </c>
      <c r="O35" s="37">
        <v>134</v>
      </c>
      <c r="P35" s="37">
        <v>23</v>
      </c>
      <c r="Q35" s="37">
        <v>10</v>
      </c>
      <c r="R35" s="37"/>
      <c r="S35" s="59"/>
    </row>
    <row r="36" spans="1:19" x14ac:dyDescent="0.25">
      <c r="A36" s="48" t="s">
        <v>141</v>
      </c>
      <c r="B36" s="44" t="str">
        <f t="shared" si="3"/>
        <v/>
      </c>
      <c r="C36" s="110">
        <v>0</v>
      </c>
      <c r="D36" s="37">
        <v>0</v>
      </c>
      <c r="E36" s="123"/>
      <c r="F36" s="37"/>
      <c r="G36" s="37"/>
      <c r="H36" s="37"/>
      <c r="I36" s="37">
        <v>27</v>
      </c>
      <c r="J36" s="37"/>
      <c r="K36" s="37"/>
      <c r="L36" s="37"/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/>
      <c r="S36" s="59"/>
    </row>
    <row r="37" spans="1:19" ht="13.8" thickBot="1" x14ac:dyDescent="0.3">
      <c r="A37" s="48" t="s">
        <v>6</v>
      </c>
      <c r="B37" s="44">
        <f t="shared" si="3"/>
        <v>-0.2857142857142857</v>
      </c>
      <c r="C37" s="110">
        <v>-279</v>
      </c>
      <c r="D37" s="37">
        <v>-266</v>
      </c>
      <c r="E37" s="123">
        <v>235</v>
      </c>
      <c r="F37" s="37">
        <v>329</v>
      </c>
      <c r="G37" s="37">
        <v>33</v>
      </c>
      <c r="H37" s="37">
        <v>214</v>
      </c>
      <c r="I37" s="37">
        <v>46</v>
      </c>
      <c r="J37" s="37">
        <v>209</v>
      </c>
      <c r="K37" s="37">
        <v>28</v>
      </c>
      <c r="L37" s="37">
        <v>90</v>
      </c>
      <c r="M37" s="37">
        <v>3</v>
      </c>
      <c r="N37" s="37">
        <v>2</v>
      </c>
      <c r="O37" s="37">
        <v>87</v>
      </c>
      <c r="P37" s="37">
        <v>1</v>
      </c>
      <c r="Q37" s="37">
        <v>10</v>
      </c>
      <c r="R37" s="37"/>
      <c r="S37" s="59"/>
    </row>
    <row r="38" spans="1:19" ht="13.8" thickBot="1" x14ac:dyDescent="0.3">
      <c r="A38" s="38" t="s">
        <v>92</v>
      </c>
      <c r="B38" s="128">
        <f t="shared" si="3"/>
        <v>1.1637583892617449</v>
      </c>
      <c r="C38" s="115">
        <v>-2173</v>
      </c>
      <c r="D38" s="43">
        <v>-1117</v>
      </c>
      <c r="E38" s="124">
        <f t="shared" ref="E38:K38" si="4">SUM(E30:E37)</f>
        <v>1612</v>
      </c>
      <c r="F38" s="43">
        <f t="shared" si="4"/>
        <v>745</v>
      </c>
      <c r="G38" s="43">
        <f t="shared" si="4"/>
        <v>403</v>
      </c>
      <c r="H38" s="43">
        <f t="shared" si="4"/>
        <v>1283</v>
      </c>
      <c r="I38" s="43">
        <f t="shared" si="4"/>
        <v>968</v>
      </c>
      <c r="J38" s="43">
        <f t="shared" si="4"/>
        <v>1889</v>
      </c>
      <c r="K38" s="99">
        <f t="shared" si="4"/>
        <v>1499</v>
      </c>
      <c r="L38" s="43">
        <f t="shared" ref="L38:Q38" si="5">SUM(L30:L37)</f>
        <v>1238</v>
      </c>
      <c r="M38" s="43">
        <f t="shared" si="5"/>
        <v>820</v>
      </c>
      <c r="N38" s="43">
        <f t="shared" si="5"/>
        <v>2068</v>
      </c>
      <c r="O38" s="43">
        <f t="shared" si="5"/>
        <v>2056</v>
      </c>
      <c r="P38" s="43">
        <f t="shared" si="5"/>
        <v>235</v>
      </c>
      <c r="Q38" s="43">
        <f t="shared" si="5"/>
        <v>3695</v>
      </c>
      <c r="R38" s="43"/>
      <c r="S38" s="79"/>
    </row>
    <row r="43" spans="1:19" x14ac:dyDescent="0.25">
      <c r="M43" s="90"/>
    </row>
    <row r="50" spans="13:13" x14ac:dyDescent="0.25">
      <c r="M50" s="90"/>
    </row>
    <row r="51" spans="13:13" x14ac:dyDescent="0.25">
      <c r="M51" s="37"/>
    </row>
    <row r="52" spans="13:13" x14ac:dyDescent="0.25">
      <c r="M52" s="37"/>
    </row>
    <row r="53" spans="13:13" x14ac:dyDescent="0.25">
      <c r="M53" s="37"/>
    </row>
    <row r="54" spans="13:13" x14ac:dyDescent="0.25">
      <c r="M54" s="37"/>
    </row>
    <row r="55" spans="13:13" x14ac:dyDescent="0.25">
      <c r="M55" s="37"/>
    </row>
    <row r="56" spans="13:13" x14ac:dyDescent="0.25">
      <c r="M56" s="37"/>
    </row>
  </sheetData>
  <pageMargins left="0.75" right="0.75" top="1" bottom="1" header="0.5" footer="0.5"/>
  <pageSetup paperSize="9" scale="66" fitToHeight="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1"/>
  <sheetViews>
    <sheetView zoomScaleNormal="65" workbookViewId="0"/>
  </sheetViews>
  <sheetFormatPr defaultColWidth="8.77734375" defaultRowHeight="13.2" x14ac:dyDescent="0.25"/>
  <cols>
    <col min="1" max="1" width="24.77734375" customWidth="1"/>
    <col min="2" max="2" width="10.77734375" customWidth="1"/>
    <col min="3" max="4" width="11.6640625" bestFit="1" customWidth="1"/>
    <col min="5" max="10" width="11.6640625" customWidth="1"/>
    <col min="11" max="11" width="11.109375" customWidth="1"/>
    <col min="12" max="12" width="10.77734375" customWidth="1"/>
    <col min="13" max="22" width="10.109375" bestFit="1" customWidth="1"/>
  </cols>
  <sheetData>
    <row r="1" spans="1:23" ht="13.8" thickBot="1" x14ac:dyDescent="0.3">
      <c r="A1" s="38" t="s">
        <v>24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5">
        <v>40269</v>
      </c>
      <c r="T1" s="25">
        <v>39904</v>
      </c>
      <c r="U1" s="25">
        <v>39539</v>
      </c>
      <c r="V1" s="26">
        <v>39173</v>
      </c>
    </row>
    <row r="2" spans="1:23" x14ac:dyDescent="0.25">
      <c r="A2" s="39" t="s">
        <v>4</v>
      </c>
      <c r="B2" s="44">
        <f t="shared" ref="B2:B23" si="0">IFERROR(((E2-F2)/F2),"")</f>
        <v>0.48324742268041238</v>
      </c>
      <c r="C2" s="110">
        <v>-1296</v>
      </c>
      <c r="D2" s="37">
        <v>-1758</v>
      </c>
      <c r="E2" s="123">
        <v>2302</v>
      </c>
      <c r="F2" s="37">
        <v>1552</v>
      </c>
      <c r="G2" s="37">
        <v>5055</v>
      </c>
      <c r="H2" s="37">
        <v>0</v>
      </c>
      <c r="I2" s="37">
        <v>1331</v>
      </c>
      <c r="J2" s="37">
        <v>3091</v>
      </c>
      <c r="K2" s="37">
        <v>0</v>
      </c>
      <c r="L2" s="37">
        <v>3751</v>
      </c>
      <c r="M2" s="37">
        <v>259</v>
      </c>
      <c r="N2" s="37">
        <v>3230</v>
      </c>
      <c r="O2" s="37">
        <v>182</v>
      </c>
      <c r="P2" s="37">
        <v>18</v>
      </c>
      <c r="Q2" s="37">
        <v>60</v>
      </c>
      <c r="R2" s="37">
        <v>186</v>
      </c>
      <c r="S2" s="37">
        <v>306</v>
      </c>
      <c r="T2" s="37">
        <v>1902</v>
      </c>
      <c r="U2" s="37">
        <v>209</v>
      </c>
      <c r="V2" s="59">
        <v>1629</v>
      </c>
    </row>
    <row r="3" spans="1:23" x14ac:dyDescent="0.25">
      <c r="A3" s="39" t="s">
        <v>11</v>
      </c>
      <c r="B3" s="44">
        <f t="shared" si="0"/>
        <v>3.3821178206862625E-2</v>
      </c>
      <c r="C3" s="110">
        <v>-7508</v>
      </c>
      <c r="D3" s="37">
        <v>-11990</v>
      </c>
      <c r="E3" s="123">
        <v>8406</v>
      </c>
      <c r="F3" s="37">
        <v>8131</v>
      </c>
      <c r="G3" s="37">
        <v>11370</v>
      </c>
      <c r="H3" s="37">
        <v>6724</v>
      </c>
      <c r="I3" s="37">
        <v>6562</v>
      </c>
      <c r="J3" s="37">
        <v>11509</v>
      </c>
      <c r="K3" s="37">
        <v>525</v>
      </c>
      <c r="L3" s="37">
        <v>3981</v>
      </c>
      <c r="M3" s="37">
        <v>8738</v>
      </c>
      <c r="N3" s="37">
        <v>5345</v>
      </c>
      <c r="O3" s="37">
        <v>5483</v>
      </c>
      <c r="P3" s="37">
        <v>2898</v>
      </c>
      <c r="Q3" s="37">
        <v>4506</v>
      </c>
      <c r="R3" s="37">
        <v>3385</v>
      </c>
      <c r="S3" s="37">
        <v>3964</v>
      </c>
      <c r="T3" s="37">
        <v>1975</v>
      </c>
      <c r="U3" s="37">
        <v>3670</v>
      </c>
      <c r="V3" s="59">
        <v>2255</v>
      </c>
    </row>
    <row r="4" spans="1:23" x14ac:dyDescent="0.25">
      <c r="A4" s="39" t="s">
        <v>5</v>
      </c>
      <c r="B4" s="44" t="str">
        <f t="shared" si="0"/>
        <v/>
      </c>
      <c r="C4" s="110">
        <v>0</v>
      </c>
      <c r="D4" s="37">
        <v>0</v>
      </c>
      <c r="E4" s="123">
        <v>0</v>
      </c>
      <c r="F4" s="37">
        <v>0</v>
      </c>
      <c r="G4" s="37">
        <v>0</v>
      </c>
      <c r="H4" s="37">
        <v>0</v>
      </c>
      <c r="I4" s="37">
        <v>0</v>
      </c>
      <c r="J4" s="37"/>
      <c r="K4" s="37">
        <v>0</v>
      </c>
      <c r="L4" s="37">
        <v>41</v>
      </c>
      <c r="M4" s="37">
        <v>169</v>
      </c>
      <c r="N4" s="37"/>
      <c r="O4" s="37">
        <v>7</v>
      </c>
      <c r="P4" s="37">
        <v>5</v>
      </c>
      <c r="Q4" s="37">
        <v>17</v>
      </c>
      <c r="R4" s="37">
        <v>40</v>
      </c>
      <c r="S4" s="37">
        <v>2</v>
      </c>
      <c r="T4" s="37">
        <v>13</v>
      </c>
      <c r="U4" s="37">
        <v>0</v>
      </c>
      <c r="V4" s="59">
        <v>77</v>
      </c>
    </row>
    <row r="5" spans="1:23" x14ac:dyDescent="0.25">
      <c r="A5" s="39" t="s">
        <v>2</v>
      </c>
      <c r="B5" s="44">
        <f t="shared" si="0"/>
        <v>-0.55414170421349707</v>
      </c>
      <c r="C5" s="110">
        <v>-9254</v>
      </c>
      <c r="D5" s="37">
        <v>-14879</v>
      </c>
      <c r="E5" s="123">
        <v>18010</v>
      </c>
      <c r="F5" s="37">
        <v>40394</v>
      </c>
      <c r="G5" s="37">
        <v>24924</v>
      </c>
      <c r="H5" s="37">
        <v>20292</v>
      </c>
      <c r="I5" s="37">
        <v>20873</v>
      </c>
      <c r="J5" s="37">
        <v>18337</v>
      </c>
      <c r="K5" s="37">
        <v>8568</v>
      </c>
      <c r="L5" s="37">
        <v>18507</v>
      </c>
      <c r="M5" s="37">
        <v>16175</v>
      </c>
      <c r="N5" s="37">
        <v>25375</v>
      </c>
      <c r="O5" s="37">
        <v>11359</v>
      </c>
      <c r="P5" s="37">
        <v>11247</v>
      </c>
      <c r="Q5" s="37">
        <v>15370</v>
      </c>
      <c r="R5" s="37">
        <v>11696</v>
      </c>
      <c r="S5" s="37">
        <v>18014</v>
      </c>
      <c r="T5" s="37">
        <v>10434</v>
      </c>
      <c r="U5" s="37">
        <v>14863</v>
      </c>
      <c r="V5" s="59">
        <v>16288</v>
      </c>
    </row>
    <row r="6" spans="1:23" x14ac:dyDescent="0.25">
      <c r="A6" s="39" t="s">
        <v>12</v>
      </c>
      <c r="B6" s="44">
        <f t="shared" si="0"/>
        <v>-0.24141546526867627</v>
      </c>
      <c r="C6" s="110">
        <v>-659</v>
      </c>
      <c r="D6" s="37">
        <v>-2185</v>
      </c>
      <c r="E6" s="123">
        <v>2894</v>
      </c>
      <c r="F6" s="37">
        <v>3815</v>
      </c>
      <c r="G6" s="37">
        <v>2927</v>
      </c>
      <c r="H6" s="37">
        <v>3285</v>
      </c>
      <c r="I6" s="37">
        <v>2762</v>
      </c>
      <c r="J6" s="37">
        <v>5241</v>
      </c>
      <c r="K6" s="37">
        <v>478</v>
      </c>
      <c r="L6" s="37">
        <v>3503</v>
      </c>
      <c r="M6" s="37">
        <v>2327</v>
      </c>
      <c r="N6" s="37">
        <v>4105</v>
      </c>
      <c r="O6" s="37">
        <v>3118</v>
      </c>
      <c r="P6" s="37">
        <v>98</v>
      </c>
      <c r="Q6" s="37">
        <v>1458</v>
      </c>
      <c r="R6" s="37">
        <v>638</v>
      </c>
      <c r="S6" s="37">
        <v>1862</v>
      </c>
      <c r="T6" s="37">
        <v>713</v>
      </c>
      <c r="U6" s="37">
        <v>1382</v>
      </c>
      <c r="V6" s="59">
        <v>132</v>
      </c>
    </row>
    <row r="7" spans="1:23" x14ac:dyDescent="0.25">
      <c r="A7" s="39" t="s">
        <v>9</v>
      </c>
      <c r="B7" s="44">
        <f t="shared" si="0"/>
        <v>-4.2259594652867619E-2</v>
      </c>
      <c r="C7" s="110">
        <v>-5407</v>
      </c>
      <c r="D7" s="37">
        <v>-5675</v>
      </c>
      <c r="E7" s="123">
        <v>8884</v>
      </c>
      <c r="F7" s="37">
        <v>9276</v>
      </c>
      <c r="G7" s="37">
        <v>10983</v>
      </c>
      <c r="H7" s="37">
        <v>8613</v>
      </c>
      <c r="I7" s="37">
        <v>5641</v>
      </c>
      <c r="J7" s="37">
        <v>5539</v>
      </c>
      <c r="K7" s="37">
        <v>2170</v>
      </c>
      <c r="L7" s="37">
        <v>5476</v>
      </c>
      <c r="M7" s="37">
        <v>5443</v>
      </c>
      <c r="N7" s="37">
        <v>2503</v>
      </c>
      <c r="O7" s="37">
        <v>3452</v>
      </c>
      <c r="P7" s="37">
        <v>3284</v>
      </c>
      <c r="Q7" s="37">
        <v>1961</v>
      </c>
      <c r="R7" s="37">
        <v>1352</v>
      </c>
      <c r="S7" s="37">
        <v>413</v>
      </c>
      <c r="T7" s="37">
        <v>1946</v>
      </c>
      <c r="U7" s="37">
        <v>1268</v>
      </c>
      <c r="V7" s="59">
        <v>1065</v>
      </c>
    </row>
    <row r="8" spans="1:23" x14ac:dyDescent="0.25">
      <c r="A8" s="39" t="s">
        <v>14</v>
      </c>
      <c r="B8" s="44" t="str">
        <f t="shared" si="0"/>
        <v/>
      </c>
      <c r="C8" s="110">
        <v>0</v>
      </c>
      <c r="D8" s="37">
        <v>0</v>
      </c>
      <c r="E8" s="123">
        <v>0</v>
      </c>
      <c r="F8" s="37">
        <v>0</v>
      </c>
      <c r="G8" s="37">
        <v>0</v>
      </c>
      <c r="H8" s="37">
        <v>0</v>
      </c>
      <c r="I8" s="37"/>
      <c r="J8" s="37">
        <v>265</v>
      </c>
      <c r="K8" s="37">
        <v>0</v>
      </c>
      <c r="L8" s="37">
        <v>366</v>
      </c>
      <c r="M8" s="37">
        <v>586</v>
      </c>
      <c r="N8" s="37">
        <v>659</v>
      </c>
      <c r="O8" s="37">
        <v>985</v>
      </c>
      <c r="P8" s="37">
        <v>1163</v>
      </c>
      <c r="Q8" s="37">
        <v>1749</v>
      </c>
      <c r="R8" s="37">
        <v>1788</v>
      </c>
      <c r="S8" s="37">
        <v>3886</v>
      </c>
      <c r="T8" s="37">
        <v>4026</v>
      </c>
      <c r="U8" s="37">
        <v>1146</v>
      </c>
      <c r="V8" s="59">
        <v>4825</v>
      </c>
    </row>
    <row r="9" spans="1:23" x14ac:dyDescent="0.25">
      <c r="A9" s="39" t="s">
        <v>3</v>
      </c>
      <c r="B9" s="44">
        <f t="shared" si="0"/>
        <v>1.0252525252525253</v>
      </c>
      <c r="C9" s="110">
        <v>-629</v>
      </c>
      <c r="D9" s="37">
        <v>-810</v>
      </c>
      <c r="E9" s="123">
        <v>1604</v>
      </c>
      <c r="F9" s="37">
        <v>792</v>
      </c>
      <c r="G9" s="37">
        <v>1364</v>
      </c>
      <c r="H9" s="37">
        <v>2132</v>
      </c>
      <c r="I9" s="37">
        <v>1913</v>
      </c>
      <c r="J9" s="37">
        <v>2269</v>
      </c>
      <c r="K9" s="37">
        <v>742</v>
      </c>
      <c r="L9" s="37">
        <v>6064</v>
      </c>
      <c r="M9" s="37">
        <v>5591</v>
      </c>
      <c r="N9" s="37">
        <v>5281</v>
      </c>
      <c r="O9" s="37">
        <v>6608</v>
      </c>
      <c r="P9" s="37">
        <v>9207</v>
      </c>
      <c r="Q9" s="37">
        <v>10589</v>
      </c>
      <c r="R9" s="37">
        <v>7324</v>
      </c>
      <c r="S9" s="37">
        <v>10088</v>
      </c>
      <c r="T9" s="37">
        <v>13179</v>
      </c>
      <c r="U9" s="37">
        <v>9074</v>
      </c>
      <c r="V9" s="59">
        <v>8118</v>
      </c>
    </row>
    <row r="10" spans="1:23" x14ac:dyDescent="0.25">
      <c r="A10" s="39" t="s">
        <v>15</v>
      </c>
      <c r="B10" s="44" t="str">
        <f t="shared" si="0"/>
        <v/>
      </c>
      <c r="C10" s="110">
        <v>0</v>
      </c>
      <c r="D10" s="37">
        <v>-53</v>
      </c>
      <c r="E10" s="123">
        <v>4</v>
      </c>
      <c r="F10" s="37">
        <v>0</v>
      </c>
      <c r="G10" s="37">
        <v>20</v>
      </c>
      <c r="H10" s="37">
        <v>0</v>
      </c>
      <c r="I10" s="37"/>
      <c r="J10" s="37"/>
      <c r="K10" s="37">
        <v>0</v>
      </c>
      <c r="L10" s="37"/>
      <c r="M10" s="37">
        <v>97</v>
      </c>
      <c r="N10" s="37">
        <v>138</v>
      </c>
      <c r="O10" s="37">
        <v>0</v>
      </c>
      <c r="P10" s="37">
        <v>0</v>
      </c>
      <c r="Q10" s="37">
        <v>27</v>
      </c>
      <c r="R10" s="37">
        <v>64</v>
      </c>
      <c r="S10" s="37">
        <v>0</v>
      </c>
      <c r="T10" s="37">
        <v>0</v>
      </c>
      <c r="U10" s="37">
        <v>0</v>
      </c>
      <c r="V10" s="59">
        <v>51</v>
      </c>
    </row>
    <row r="11" spans="1:23" x14ac:dyDescent="0.25">
      <c r="A11" s="39" t="s">
        <v>10</v>
      </c>
      <c r="B11" s="44">
        <f t="shared" si="0"/>
        <v>-0.58048961424332346</v>
      </c>
      <c r="C11" s="110">
        <v>-307</v>
      </c>
      <c r="D11" s="37">
        <v>-381</v>
      </c>
      <c r="E11" s="123">
        <v>1131</v>
      </c>
      <c r="F11" s="37">
        <v>2696</v>
      </c>
      <c r="G11" s="37">
        <v>5212</v>
      </c>
      <c r="H11" s="37">
        <v>4918</v>
      </c>
      <c r="I11" s="37">
        <v>2493</v>
      </c>
      <c r="J11" s="37">
        <v>7444</v>
      </c>
      <c r="K11" s="37">
        <v>6441</v>
      </c>
      <c r="L11" s="37">
        <v>8653</v>
      </c>
      <c r="M11" s="37">
        <v>14004</v>
      </c>
      <c r="N11" s="37">
        <v>6770</v>
      </c>
      <c r="O11" s="37">
        <v>17169</v>
      </c>
      <c r="P11" s="37">
        <v>18749</v>
      </c>
      <c r="Q11" s="37">
        <v>16110</v>
      </c>
      <c r="R11" s="37">
        <v>14018</v>
      </c>
      <c r="S11" s="37">
        <v>19092</v>
      </c>
      <c r="T11" s="37">
        <v>16606</v>
      </c>
      <c r="U11" s="37">
        <v>9252</v>
      </c>
      <c r="V11" s="59">
        <v>14721</v>
      </c>
      <c r="W11" s="1"/>
    </row>
    <row r="12" spans="1:23" x14ac:dyDescent="0.25">
      <c r="A12" s="39" t="s">
        <v>99</v>
      </c>
      <c r="B12" s="44" t="str">
        <f t="shared" si="0"/>
        <v/>
      </c>
      <c r="C12" s="110">
        <v>0</v>
      </c>
      <c r="D12" s="37">
        <v>0</v>
      </c>
      <c r="E12" s="123">
        <v>0</v>
      </c>
      <c r="F12" s="37">
        <v>0</v>
      </c>
      <c r="G12" s="37">
        <v>0</v>
      </c>
      <c r="H12" s="37">
        <v>0</v>
      </c>
      <c r="I12" s="37"/>
      <c r="J12" s="37"/>
      <c r="K12" s="37">
        <v>0</v>
      </c>
      <c r="L12" s="37"/>
      <c r="M12" s="37"/>
      <c r="N12" s="37"/>
      <c r="O12" s="37"/>
      <c r="P12" s="37">
        <v>0</v>
      </c>
      <c r="Q12" s="37">
        <v>0</v>
      </c>
      <c r="R12" s="37">
        <v>0</v>
      </c>
      <c r="S12" s="37">
        <v>3</v>
      </c>
      <c r="T12" s="37">
        <v>0</v>
      </c>
      <c r="U12" s="37">
        <v>0</v>
      </c>
      <c r="V12" s="59">
        <v>0</v>
      </c>
      <c r="W12" s="1"/>
    </row>
    <row r="13" spans="1:23" x14ac:dyDescent="0.25">
      <c r="A13" s="39" t="s">
        <v>27</v>
      </c>
      <c r="B13" s="44">
        <f t="shared" si="0"/>
        <v>-0.2940377988931816</v>
      </c>
      <c r="C13" s="110">
        <v>-760</v>
      </c>
      <c r="D13" s="37">
        <v>-2447</v>
      </c>
      <c r="E13" s="123">
        <v>6761</v>
      </c>
      <c r="F13" s="37">
        <v>9577</v>
      </c>
      <c r="G13" s="37">
        <v>12114</v>
      </c>
      <c r="H13" s="37">
        <v>7244</v>
      </c>
      <c r="I13" s="37">
        <v>8512</v>
      </c>
      <c r="J13" s="37">
        <v>20592</v>
      </c>
      <c r="K13" s="37">
        <v>5583</v>
      </c>
      <c r="L13" s="37">
        <v>21323</v>
      </c>
      <c r="M13" s="37">
        <v>19529</v>
      </c>
      <c r="N13" s="37">
        <v>25472</v>
      </c>
      <c r="O13" s="37">
        <v>20791</v>
      </c>
      <c r="P13" s="37">
        <v>26912</v>
      </c>
      <c r="Q13" s="37">
        <v>33538</v>
      </c>
      <c r="R13" s="37">
        <v>23340</v>
      </c>
      <c r="S13" s="37">
        <v>33376</v>
      </c>
      <c r="T13" s="37">
        <v>33010</v>
      </c>
      <c r="U13" s="37">
        <v>28894</v>
      </c>
      <c r="V13" s="59">
        <v>30072</v>
      </c>
      <c r="W13" s="1"/>
    </row>
    <row r="14" spans="1:23" x14ac:dyDescent="0.25">
      <c r="A14" s="39" t="s">
        <v>26</v>
      </c>
      <c r="B14" s="44">
        <f t="shared" si="0"/>
        <v>-0.12421998502371245</v>
      </c>
      <c r="C14" s="110">
        <v>-853</v>
      </c>
      <c r="D14" s="37">
        <v>-2181</v>
      </c>
      <c r="E14" s="123">
        <v>10526</v>
      </c>
      <c r="F14" s="37">
        <v>12019</v>
      </c>
      <c r="G14" s="37">
        <v>20705</v>
      </c>
      <c r="H14" s="37">
        <v>22538</v>
      </c>
      <c r="I14" s="37">
        <v>17694</v>
      </c>
      <c r="J14" s="37">
        <v>34667</v>
      </c>
      <c r="K14" s="37">
        <v>13884</v>
      </c>
      <c r="L14" s="37">
        <v>40962</v>
      </c>
      <c r="M14" s="37">
        <v>41125</v>
      </c>
      <c r="N14" s="37">
        <v>47349</v>
      </c>
      <c r="O14" s="37">
        <v>33906</v>
      </c>
      <c r="P14" s="37">
        <v>46297</v>
      </c>
      <c r="Q14" s="37">
        <v>46940</v>
      </c>
      <c r="R14" s="37">
        <v>34356</v>
      </c>
      <c r="S14" s="37">
        <v>44835</v>
      </c>
      <c r="T14" s="37">
        <v>37635</v>
      </c>
      <c r="U14" s="37">
        <v>32179</v>
      </c>
      <c r="V14" s="59">
        <v>35163</v>
      </c>
    </row>
    <row r="15" spans="1:23" x14ac:dyDescent="0.25">
      <c r="A15" s="39" t="s">
        <v>13</v>
      </c>
      <c r="B15" s="44">
        <f t="shared" si="0"/>
        <v>-0.25450512891599669</v>
      </c>
      <c r="C15" s="110">
        <v>-1452</v>
      </c>
      <c r="D15" s="37">
        <v>-1754</v>
      </c>
      <c r="E15" s="123">
        <v>2689</v>
      </c>
      <c r="F15" s="37">
        <v>3607</v>
      </c>
      <c r="G15" s="37">
        <v>4386</v>
      </c>
      <c r="H15" s="37">
        <v>3102</v>
      </c>
      <c r="I15" s="37">
        <v>3713</v>
      </c>
      <c r="J15" s="37">
        <v>4455</v>
      </c>
      <c r="K15" s="37">
        <v>2521</v>
      </c>
      <c r="L15" s="37">
        <v>7170</v>
      </c>
      <c r="M15" s="37">
        <v>8912</v>
      </c>
      <c r="N15" s="37">
        <v>8788</v>
      </c>
      <c r="O15" s="37">
        <v>5968</v>
      </c>
      <c r="P15" s="37">
        <v>5992</v>
      </c>
      <c r="Q15" s="37">
        <v>4526</v>
      </c>
      <c r="R15" s="37">
        <v>3452</v>
      </c>
      <c r="S15" s="37">
        <v>4262</v>
      </c>
      <c r="T15" s="37">
        <v>3464</v>
      </c>
      <c r="U15" s="37">
        <v>1207</v>
      </c>
      <c r="V15" s="59">
        <v>2077</v>
      </c>
    </row>
    <row r="16" spans="1:23" x14ac:dyDescent="0.25">
      <c r="A16" s="39" t="s">
        <v>133</v>
      </c>
      <c r="B16" s="44">
        <f t="shared" si="0"/>
        <v>5.168243388518598E-2</v>
      </c>
      <c r="C16" s="110">
        <v>-3162</v>
      </c>
      <c r="D16" s="37">
        <v>-7180</v>
      </c>
      <c r="E16" s="123">
        <v>39131</v>
      </c>
      <c r="F16" s="37">
        <v>37208</v>
      </c>
      <c r="G16" s="37">
        <v>52381</v>
      </c>
      <c r="H16" s="37">
        <v>40038</v>
      </c>
      <c r="I16" s="37">
        <v>33949</v>
      </c>
      <c r="J16" s="37">
        <v>50299</v>
      </c>
      <c r="K16" s="37">
        <v>28232</v>
      </c>
      <c r="L16" s="37">
        <v>44254</v>
      </c>
      <c r="M16" s="37">
        <v>28200</v>
      </c>
      <c r="N16" s="37">
        <v>24718</v>
      </c>
      <c r="O16" s="37">
        <v>12045</v>
      </c>
      <c r="P16" s="37">
        <v>16692</v>
      </c>
      <c r="Q16" s="37">
        <v>12671</v>
      </c>
      <c r="R16" s="37">
        <v>7452</v>
      </c>
      <c r="S16" s="37">
        <v>10952</v>
      </c>
      <c r="T16" s="37">
        <v>7842</v>
      </c>
      <c r="U16" s="37">
        <v>6815</v>
      </c>
      <c r="V16" s="59">
        <v>1779</v>
      </c>
    </row>
    <row r="17" spans="1:22" x14ac:dyDescent="0.25">
      <c r="A17" s="39" t="s">
        <v>89</v>
      </c>
      <c r="B17" s="44">
        <f t="shared" si="0"/>
        <v>-1</v>
      </c>
      <c r="C17" s="110">
        <v>-16</v>
      </c>
      <c r="D17" s="37">
        <v>-102</v>
      </c>
      <c r="E17" s="123">
        <v>0</v>
      </c>
      <c r="F17" s="37">
        <v>3</v>
      </c>
      <c r="G17" s="37">
        <v>169</v>
      </c>
      <c r="H17" s="37">
        <v>169</v>
      </c>
      <c r="I17" s="37">
        <v>50</v>
      </c>
      <c r="J17" s="37">
        <v>56</v>
      </c>
      <c r="K17" s="37">
        <v>7</v>
      </c>
      <c r="L17" s="37">
        <v>356</v>
      </c>
      <c r="M17" s="37">
        <v>697</v>
      </c>
      <c r="N17" s="37">
        <v>269</v>
      </c>
      <c r="O17" s="37">
        <v>18</v>
      </c>
      <c r="P17" s="37">
        <v>935</v>
      </c>
      <c r="Q17" s="37">
        <v>854</v>
      </c>
      <c r="R17" s="37">
        <v>130</v>
      </c>
      <c r="S17" s="37">
        <v>34</v>
      </c>
      <c r="T17" s="37">
        <v>90</v>
      </c>
      <c r="U17" s="37">
        <v>45</v>
      </c>
      <c r="V17" s="59">
        <v>16</v>
      </c>
    </row>
    <row r="18" spans="1:22" x14ac:dyDescent="0.25">
      <c r="A18" s="39" t="s">
        <v>96</v>
      </c>
      <c r="B18" s="44">
        <f t="shared" si="0"/>
        <v>-0.61485974222896134</v>
      </c>
      <c r="C18" s="110">
        <v>74</v>
      </c>
      <c r="D18" s="37">
        <v>-472</v>
      </c>
      <c r="E18" s="123">
        <v>508</v>
      </c>
      <c r="F18" s="37">
        <v>1319</v>
      </c>
      <c r="G18" s="37">
        <v>830</v>
      </c>
      <c r="H18" s="37">
        <v>583</v>
      </c>
      <c r="I18" s="37">
        <v>264</v>
      </c>
      <c r="J18" s="37">
        <v>1210</v>
      </c>
      <c r="K18" s="37">
        <v>68</v>
      </c>
      <c r="L18" s="37">
        <v>238</v>
      </c>
      <c r="M18" s="37">
        <v>432</v>
      </c>
      <c r="N18" s="37">
        <v>269</v>
      </c>
      <c r="O18" s="37">
        <v>539</v>
      </c>
      <c r="P18" s="37">
        <v>384</v>
      </c>
      <c r="Q18" s="37">
        <v>550</v>
      </c>
      <c r="R18" s="37">
        <v>1003</v>
      </c>
      <c r="S18" s="37">
        <v>946</v>
      </c>
      <c r="T18" s="37">
        <v>951</v>
      </c>
      <c r="U18" s="37">
        <v>382</v>
      </c>
      <c r="V18" s="59">
        <v>777</v>
      </c>
    </row>
    <row r="19" spans="1:22" x14ac:dyDescent="0.25">
      <c r="A19" s="39" t="s">
        <v>142</v>
      </c>
      <c r="B19" s="44">
        <f t="shared" si="0"/>
        <v>-0.62687790221251027</v>
      </c>
      <c r="C19" s="110">
        <v>-19784</v>
      </c>
      <c r="D19" s="37">
        <v>-7754</v>
      </c>
      <c r="E19" s="123">
        <v>9562</v>
      </c>
      <c r="F19" s="37">
        <v>25627</v>
      </c>
      <c r="G19" s="37">
        <v>18209</v>
      </c>
      <c r="H19" s="37">
        <v>19133</v>
      </c>
      <c r="I19" s="37">
        <v>13811</v>
      </c>
      <c r="J19" s="37">
        <v>21926</v>
      </c>
      <c r="K19" s="37">
        <v>5435</v>
      </c>
      <c r="L19" s="37">
        <v>12376</v>
      </c>
      <c r="M19" s="37">
        <v>12240</v>
      </c>
      <c r="N19" s="37">
        <v>12692</v>
      </c>
      <c r="O19" s="37">
        <v>8112</v>
      </c>
      <c r="P19" s="37">
        <v>5969</v>
      </c>
      <c r="Q19" s="37">
        <v>4445</v>
      </c>
      <c r="R19" s="37">
        <v>2591</v>
      </c>
      <c r="S19" s="37">
        <v>3153</v>
      </c>
      <c r="T19" s="37">
        <v>1188</v>
      </c>
      <c r="U19" s="37">
        <v>1390</v>
      </c>
      <c r="V19" s="59">
        <v>302</v>
      </c>
    </row>
    <row r="20" spans="1:22" ht="13.8" thickBot="1" x14ac:dyDescent="0.3">
      <c r="A20" s="39" t="s">
        <v>6</v>
      </c>
      <c r="B20" s="44">
        <f t="shared" si="0"/>
        <v>1.5333439439758076</v>
      </c>
      <c r="C20" s="110">
        <v>11256</v>
      </c>
      <c r="D20" s="37">
        <v>-2514</v>
      </c>
      <c r="E20" s="123">
        <v>15917</v>
      </c>
      <c r="F20" s="37">
        <v>6283</v>
      </c>
      <c r="G20" s="37">
        <v>2058</v>
      </c>
      <c r="H20" s="37">
        <v>859</v>
      </c>
      <c r="I20" s="37">
        <v>1846</v>
      </c>
      <c r="J20" s="37">
        <v>2061</v>
      </c>
      <c r="K20" s="37">
        <v>254</v>
      </c>
      <c r="L20" s="37">
        <v>1847</v>
      </c>
      <c r="M20" s="37">
        <v>1792</v>
      </c>
      <c r="N20" s="37">
        <v>3084</v>
      </c>
      <c r="O20" s="37">
        <v>2808</v>
      </c>
      <c r="P20" s="37">
        <v>3300</v>
      </c>
      <c r="Q20" s="37">
        <v>2524</v>
      </c>
      <c r="R20" s="37">
        <v>1893</v>
      </c>
      <c r="S20" s="37">
        <v>2606</v>
      </c>
      <c r="T20" s="37">
        <v>2548</v>
      </c>
      <c r="U20" s="37">
        <v>1852</v>
      </c>
      <c r="V20" s="59">
        <v>2014</v>
      </c>
    </row>
    <row r="21" spans="1:22" ht="13.8" thickBot="1" x14ac:dyDescent="0.3">
      <c r="A21" s="38" t="s">
        <v>92</v>
      </c>
      <c r="B21" s="128">
        <f t="shared" si="0"/>
        <v>-0.20930504809025319</v>
      </c>
      <c r="C21" s="115">
        <v>-39757</v>
      </c>
      <c r="D21" s="43">
        <v>-62135</v>
      </c>
      <c r="E21" s="124">
        <f t="shared" ref="E21:J21" si="1">SUM(E2:E20)</f>
        <v>128329</v>
      </c>
      <c r="F21" s="43">
        <f t="shared" si="1"/>
        <v>162299</v>
      </c>
      <c r="G21" s="43">
        <f t="shared" si="1"/>
        <v>172707</v>
      </c>
      <c r="H21" s="43">
        <f t="shared" si="1"/>
        <v>139630</v>
      </c>
      <c r="I21" s="43">
        <f t="shared" si="1"/>
        <v>121414</v>
      </c>
      <c r="J21" s="43">
        <f t="shared" si="1"/>
        <v>188961</v>
      </c>
      <c r="K21" s="43">
        <f t="shared" ref="K21:P21" si="2">SUM(K2:K20)</f>
        <v>74908</v>
      </c>
      <c r="L21" s="43">
        <f t="shared" si="2"/>
        <v>178868</v>
      </c>
      <c r="M21" s="43">
        <f t="shared" si="2"/>
        <v>166316</v>
      </c>
      <c r="N21" s="43">
        <f t="shared" si="2"/>
        <v>176047</v>
      </c>
      <c r="O21" s="43">
        <f t="shared" si="2"/>
        <v>132550</v>
      </c>
      <c r="P21" s="43">
        <f t="shared" si="2"/>
        <v>153150</v>
      </c>
      <c r="Q21" s="43">
        <f t="shared" ref="Q21:V21" si="3">SUM(Q2:Q20)</f>
        <v>157895</v>
      </c>
      <c r="R21" s="43">
        <f t="shared" si="3"/>
        <v>114708</v>
      </c>
      <c r="S21" s="43">
        <f t="shared" si="3"/>
        <v>157794</v>
      </c>
      <c r="T21" s="43">
        <f t="shared" si="3"/>
        <v>137522</v>
      </c>
      <c r="U21" s="43">
        <f t="shared" si="3"/>
        <v>113628</v>
      </c>
      <c r="V21" s="79">
        <f t="shared" si="3"/>
        <v>121361</v>
      </c>
    </row>
    <row r="22" spans="1:22" x14ac:dyDescent="0.25">
      <c r="B22" t="str">
        <f t="shared" si="0"/>
        <v/>
      </c>
    </row>
    <row r="23" spans="1:22" ht="13.8" thickBot="1" x14ac:dyDescent="0.3">
      <c r="B23" s="3" t="str">
        <f t="shared" si="0"/>
        <v/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s="46" customFormat="1" ht="13.8" thickBot="1" x14ac:dyDescent="0.3">
      <c r="A24" s="47" t="s">
        <v>25</v>
      </c>
      <c r="B24" s="24" t="s">
        <v>182</v>
      </c>
      <c r="C24" s="125" t="s">
        <v>183</v>
      </c>
      <c r="D24" s="69" t="s">
        <v>178</v>
      </c>
      <c r="E24" s="127">
        <v>45383</v>
      </c>
      <c r="F24" s="101">
        <v>45017</v>
      </c>
      <c r="G24" s="101">
        <v>44652</v>
      </c>
      <c r="H24" s="101">
        <v>44287</v>
      </c>
      <c r="I24" s="101">
        <v>43922</v>
      </c>
      <c r="J24" s="101">
        <v>43556</v>
      </c>
      <c r="K24" s="101">
        <v>43191</v>
      </c>
      <c r="L24" s="25">
        <v>42826</v>
      </c>
      <c r="M24" s="25">
        <v>42461</v>
      </c>
      <c r="N24" s="25">
        <v>42125</v>
      </c>
      <c r="O24" s="25">
        <v>41730</v>
      </c>
      <c r="P24" s="25">
        <v>41365</v>
      </c>
      <c r="Q24" s="25">
        <v>41000</v>
      </c>
      <c r="R24" s="25">
        <v>40634</v>
      </c>
      <c r="S24" s="25">
        <v>40269</v>
      </c>
      <c r="T24" s="25">
        <v>39904</v>
      </c>
      <c r="U24" s="25">
        <v>39539</v>
      </c>
      <c r="V24" s="26">
        <v>39173</v>
      </c>
    </row>
    <row r="25" spans="1:22" s="46" customFormat="1" ht="13.8" thickBot="1" x14ac:dyDescent="0.3">
      <c r="A25" s="51" t="s">
        <v>6</v>
      </c>
      <c r="B25" s="78">
        <f t="shared" ref="B25:B31" si="4">IFERROR(((E25-F25)/F25),"")</f>
        <v>7.3481012658227849</v>
      </c>
      <c r="C25" s="112">
        <v>-661</v>
      </c>
      <c r="D25" s="54">
        <v>-560</v>
      </c>
      <c r="E25" s="53">
        <v>1319</v>
      </c>
      <c r="F25" s="54">
        <v>158</v>
      </c>
      <c r="G25" s="54">
        <v>583</v>
      </c>
      <c r="H25" s="54">
        <v>612</v>
      </c>
      <c r="I25" s="54">
        <v>394</v>
      </c>
      <c r="J25" s="54">
        <v>821</v>
      </c>
      <c r="K25" s="54">
        <v>393</v>
      </c>
      <c r="L25" s="54">
        <v>53</v>
      </c>
      <c r="M25" s="54">
        <v>119</v>
      </c>
      <c r="N25" s="54">
        <v>585</v>
      </c>
      <c r="O25" s="54">
        <v>360</v>
      </c>
      <c r="P25" s="54">
        <v>66</v>
      </c>
      <c r="Q25" s="54">
        <v>361</v>
      </c>
      <c r="R25" s="54">
        <v>9</v>
      </c>
      <c r="S25" s="54">
        <v>147</v>
      </c>
      <c r="T25" s="54">
        <v>111</v>
      </c>
      <c r="U25" s="54">
        <v>184</v>
      </c>
      <c r="V25" s="61">
        <v>84</v>
      </c>
    </row>
    <row r="26" spans="1:22" s="46" customFormat="1" ht="13.8" thickBot="1" x14ac:dyDescent="0.3">
      <c r="A26" s="55" t="s">
        <v>92</v>
      </c>
      <c r="B26" s="56">
        <f t="shared" si="4"/>
        <v>7.3481012658227849</v>
      </c>
      <c r="C26" s="115">
        <v>-661</v>
      </c>
      <c r="D26" s="74">
        <v>-560</v>
      </c>
      <c r="E26" s="57">
        <v>1319</v>
      </c>
      <c r="F26" s="74">
        <v>158</v>
      </c>
      <c r="G26" s="74">
        <v>583</v>
      </c>
      <c r="H26" s="74">
        <v>612</v>
      </c>
      <c r="I26" s="74">
        <f>SUM(I25)</f>
        <v>394</v>
      </c>
      <c r="J26" s="74">
        <v>821</v>
      </c>
      <c r="K26" s="74">
        <v>393</v>
      </c>
      <c r="L26" s="74">
        <f>SUM(L25)</f>
        <v>53</v>
      </c>
      <c r="M26" s="74">
        <f>SUM(M25)</f>
        <v>119</v>
      </c>
      <c r="N26" s="74">
        <f>SUM(N25)</f>
        <v>585</v>
      </c>
      <c r="O26" s="74">
        <f>SUM(O25)</f>
        <v>360</v>
      </c>
      <c r="P26" s="74">
        <f>SUM(P25)</f>
        <v>66</v>
      </c>
      <c r="Q26" s="74">
        <f t="shared" ref="Q26:V26" si="5">SUM(Q25)</f>
        <v>361</v>
      </c>
      <c r="R26" s="74">
        <f t="shared" si="5"/>
        <v>9</v>
      </c>
      <c r="S26" s="74">
        <f t="shared" si="5"/>
        <v>147</v>
      </c>
      <c r="T26" s="74">
        <f t="shared" si="5"/>
        <v>111</v>
      </c>
      <c r="U26" s="58">
        <f t="shared" si="5"/>
        <v>184</v>
      </c>
      <c r="V26" s="62">
        <f t="shared" si="5"/>
        <v>84</v>
      </c>
    </row>
    <row r="27" spans="1:22" s="46" customFormat="1" x14ac:dyDescent="0.25">
      <c r="B27" s="46" t="str">
        <f t="shared" si="4"/>
        <v/>
      </c>
    </row>
    <row r="28" spans="1:22" s="46" customFormat="1" x14ac:dyDescent="0.25">
      <c r="B28" s="46" t="str">
        <f t="shared" si="4"/>
        <v/>
      </c>
    </row>
    <row r="29" spans="1:22" s="46" customFormat="1" x14ac:dyDescent="0.25">
      <c r="B29" s="46" t="str">
        <f t="shared" si="4"/>
        <v/>
      </c>
    </row>
    <row r="30" spans="1:22" x14ac:dyDescent="0.25">
      <c r="B30" t="str">
        <f t="shared" si="4"/>
        <v/>
      </c>
    </row>
    <row r="31" spans="1:22" x14ac:dyDescent="0.25">
      <c r="B31" t="str">
        <f t="shared" si="4"/>
        <v/>
      </c>
    </row>
  </sheetData>
  <pageMargins left="0.75" right="0.75" top="1" bottom="1" header="0.5" footer="0.5"/>
  <pageSetup paperSize="9" scale="66" fitToHeight="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47"/>
  <sheetViews>
    <sheetView zoomScaleNormal="100"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10" width="11.6640625" customWidth="1"/>
    <col min="11" max="11" width="11.33203125" customWidth="1"/>
    <col min="12" max="12" width="10.77734375" customWidth="1"/>
    <col min="13" max="22" width="10.109375" bestFit="1" customWidth="1"/>
  </cols>
  <sheetData>
    <row r="1" spans="1:22" ht="13.8" thickBot="1" x14ac:dyDescent="0.3">
      <c r="A1" s="23" t="s">
        <v>24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5">
        <v>40269</v>
      </c>
      <c r="T1" s="25">
        <v>39904</v>
      </c>
      <c r="U1" s="25">
        <v>39539</v>
      </c>
      <c r="V1" s="26">
        <v>39173</v>
      </c>
    </row>
    <row r="2" spans="1:22" x14ac:dyDescent="0.25">
      <c r="A2" s="20" t="s">
        <v>20</v>
      </c>
      <c r="B2" s="27" t="str">
        <f t="shared" ref="B2:B22" si="0">IFERROR(((E2-F2)/F2),"")</f>
        <v/>
      </c>
      <c r="C2" s="109">
        <v>0</v>
      </c>
      <c r="D2" s="1">
        <v>0</v>
      </c>
      <c r="E2" s="91"/>
      <c r="F2" s="1"/>
      <c r="G2" s="1">
        <v>0</v>
      </c>
      <c r="H2" s="1"/>
      <c r="I2" s="1"/>
      <c r="J2" s="1">
        <v>0</v>
      </c>
      <c r="K2" s="1">
        <v>0</v>
      </c>
      <c r="L2" s="1">
        <v>0</v>
      </c>
      <c r="M2" s="1">
        <v>0</v>
      </c>
      <c r="N2" s="1">
        <v>0</v>
      </c>
      <c r="O2" s="1"/>
      <c r="P2" s="1"/>
      <c r="Q2" s="1">
        <v>761.6917738204121</v>
      </c>
      <c r="R2" s="1">
        <v>0</v>
      </c>
      <c r="S2" s="1">
        <v>0</v>
      </c>
      <c r="T2" s="1">
        <v>0</v>
      </c>
      <c r="U2" s="1">
        <v>0</v>
      </c>
      <c r="V2" s="29">
        <v>0</v>
      </c>
    </row>
    <row r="3" spans="1:22" x14ac:dyDescent="0.25">
      <c r="A3" s="20" t="s">
        <v>11</v>
      </c>
      <c r="B3" s="27">
        <f t="shared" si="0"/>
        <v>0.11393289085550118</v>
      </c>
      <c r="C3" s="109">
        <v>-3188.6080000000002</v>
      </c>
      <c r="D3" s="1">
        <v>-5323.3570000000036</v>
      </c>
      <c r="E3" s="91">
        <v>18778.282999999999</v>
      </c>
      <c r="F3" s="1">
        <v>16857.642999999996</v>
      </c>
      <c r="G3" s="1">
        <v>25215.183000000001</v>
      </c>
      <c r="H3" s="1">
        <v>23987.5</v>
      </c>
      <c r="I3" s="1">
        <v>28090.38</v>
      </c>
      <c r="J3" s="1">
        <v>37677.699999999997</v>
      </c>
      <c r="K3" s="1">
        <v>18656</v>
      </c>
      <c r="L3" s="1">
        <v>34255.1</v>
      </c>
      <c r="M3" s="1">
        <v>30762.1</v>
      </c>
      <c r="N3" s="1">
        <v>30965</v>
      </c>
      <c r="O3" s="1">
        <v>34303</v>
      </c>
      <c r="P3" s="1">
        <v>25751</v>
      </c>
      <c r="Q3" s="1">
        <v>36955.079968526392</v>
      </c>
      <c r="R3" s="1">
        <v>35386.915490338557</v>
      </c>
      <c r="S3" s="1">
        <v>36715.03</v>
      </c>
      <c r="T3" s="1">
        <v>29265.77</v>
      </c>
      <c r="U3" s="1">
        <v>26328</v>
      </c>
      <c r="V3" s="29">
        <v>20858</v>
      </c>
    </row>
    <row r="4" spans="1:22" x14ac:dyDescent="0.25">
      <c r="A4" s="39" t="s">
        <v>61</v>
      </c>
      <c r="B4" s="27">
        <f t="shared" si="0"/>
        <v>0.11367055278243852</v>
      </c>
      <c r="C4" s="109">
        <v>-19280.185000000005</v>
      </c>
      <c r="D4" s="1">
        <v>-17821.902999999998</v>
      </c>
      <c r="E4" s="91">
        <v>53295.925999999999</v>
      </c>
      <c r="F4" s="1">
        <v>47856.097000000002</v>
      </c>
      <c r="G4" s="1">
        <v>30329.600000000002</v>
      </c>
      <c r="H4" s="1">
        <v>33448.199999999997</v>
      </c>
      <c r="I4" s="1">
        <v>22654.3</v>
      </c>
      <c r="J4" s="1">
        <v>30183.200000000001</v>
      </c>
      <c r="K4" s="1">
        <v>19609</v>
      </c>
      <c r="L4" s="1">
        <v>31233.9</v>
      </c>
      <c r="M4" s="1">
        <v>23110.300000000003</v>
      </c>
      <c r="N4" s="1">
        <v>42691</v>
      </c>
      <c r="O4" s="1">
        <v>16692</v>
      </c>
      <c r="P4" s="1">
        <v>8234</v>
      </c>
      <c r="Q4" s="1">
        <v>26093.956609458222</v>
      </c>
      <c r="R4" s="1">
        <v>10925.109201359593</v>
      </c>
      <c r="S4" s="1"/>
      <c r="T4" s="1"/>
      <c r="U4" s="1"/>
      <c r="V4" s="29"/>
    </row>
    <row r="5" spans="1:22" x14ac:dyDescent="0.25">
      <c r="A5" s="20" t="s">
        <v>2</v>
      </c>
      <c r="B5" s="27" t="str">
        <f t="shared" si="0"/>
        <v/>
      </c>
      <c r="C5" s="109">
        <v>0</v>
      </c>
      <c r="D5" s="1">
        <v>0</v>
      </c>
      <c r="E5" s="91"/>
      <c r="F5" s="1"/>
      <c r="G5" s="1"/>
      <c r="H5" s="1"/>
      <c r="I5" s="1"/>
      <c r="J5" s="1">
        <v>0</v>
      </c>
      <c r="K5" s="1">
        <v>0</v>
      </c>
      <c r="L5" s="1">
        <v>0</v>
      </c>
      <c r="M5" s="1">
        <v>2</v>
      </c>
      <c r="N5" s="1">
        <v>0</v>
      </c>
      <c r="O5" s="1">
        <v>2</v>
      </c>
      <c r="P5" s="1"/>
      <c r="Q5" s="1">
        <v>0</v>
      </c>
      <c r="R5" s="1">
        <v>0</v>
      </c>
      <c r="S5" s="1">
        <v>31.8</v>
      </c>
      <c r="T5" s="1">
        <v>0</v>
      </c>
      <c r="U5" s="1">
        <v>9</v>
      </c>
      <c r="V5" s="29"/>
    </row>
    <row r="6" spans="1:22" x14ac:dyDescent="0.25">
      <c r="A6" s="20" t="s">
        <v>12</v>
      </c>
      <c r="B6" s="27">
        <f t="shared" si="0"/>
        <v>3.4431872072343626E-2</v>
      </c>
      <c r="C6" s="109">
        <v>-18074.428650654823</v>
      </c>
      <c r="D6" s="1">
        <v>-23748.297411012369</v>
      </c>
      <c r="E6" s="91">
        <v>33275.29680939285</v>
      </c>
      <c r="F6" s="1">
        <v>32167.702588987631</v>
      </c>
      <c r="G6" s="1">
        <v>43339.452097297049</v>
      </c>
      <c r="H6" s="1">
        <v>48342</v>
      </c>
      <c r="I6" s="1">
        <v>39141.952119609545</v>
      </c>
      <c r="J6" s="1">
        <v>57310.6</v>
      </c>
      <c r="K6" s="1">
        <v>35418</v>
      </c>
      <c r="L6" s="1">
        <v>41091.009999999995</v>
      </c>
      <c r="M6" s="1">
        <v>63315.343000000008</v>
      </c>
      <c r="N6" s="1">
        <v>50893</v>
      </c>
      <c r="O6" s="1">
        <v>57789</v>
      </c>
      <c r="P6" s="1">
        <v>28000</v>
      </c>
      <c r="Q6" s="1">
        <v>40519.997915209555</v>
      </c>
      <c r="R6" s="1">
        <v>51166.848137447007</v>
      </c>
      <c r="S6" s="1">
        <v>37282.980000000003</v>
      </c>
      <c r="T6" s="1">
        <v>34837.64</v>
      </c>
      <c r="U6" s="1">
        <v>35448.199999999997</v>
      </c>
      <c r="V6" s="29">
        <v>23704</v>
      </c>
    </row>
    <row r="7" spans="1:22" x14ac:dyDescent="0.25">
      <c r="A7" s="20" t="s">
        <v>9</v>
      </c>
      <c r="B7" s="27">
        <f t="shared" si="0"/>
        <v>1.0786374696884899</v>
      </c>
      <c r="C7" s="109">
        <v>-21870.845900428445</v>
      </c>
      <c r="D7" s="1">
        <v>-16486.443305657409</v>
      </c>
      <c r="E7" s="91">
        <v>19039.397750596552</v>
      </c>
      <c r="F7" s="1">
        <v>9159.5566943425911</v>
      </c>
      <c r="G7" s="1">
        <v>20144.544407995498</v>
      </c>
      <c r="H7" s="1">
        <v>13919.4</v>
      </c>
      <c r="I7" s="1">
        <v>15871.103152349184</v>
      </c>
      <c r="J7" s="1">
        <v>11299.8</v>
      </c>
      <c r="K7" s="1">
        <v>524</v>
      </c>
      <c r="L7" s="1">
        <v>10541.91</v>
      </c>
      <c r="M7" s="1">
        <v>1456.6</v>
      </c>
      <c r="N7" s="1">
        <v>11691</v>
      </c>
      <c r="O7" s="1">
        <v>7492</v>
      </c>
      <c r="P7" s="1">
        <v>1703</v>
      </c>
      <c r="Q7" s="1">
        <v>3639.0826720288374</v>
      </c>
      <c r="R7" s="1">
        <v>5818.360867274374</v>
      </c>
      <c r="S7" s="1">
        <v>3036.05</v>
      </c>
      <c r="T7" s="1">
        <v>3855.24</v>
      </c>
      <c r="U7" s="1">
        <v>1352</v>
      </c>
      <c r="V7" s="29">
        <v>532</v>
      </c>
    </row>
    <row r="8" spans="1:22" x14ac:dyDescent="0.25">
      <c r="A8" s="20" t="s">
        <v>14</v>
      </c>
      <c r="B8" s="27" t="str">
        <f t="shared" si="0"/>
        <v/>
      </c>
      <c r="C8" s="109">
        <v>0</v>
      </c>
      <c r="D8" s="1">
        <v>0</v>
      </c>
      <c r="E8" s="91"/>
      <c r="F8" s="1"/>
      <c r="G8" s="1"/>
      <c r="H8" s="1"/>
      <c r="I8" s="1"/>
      <c r="J8" s="1">
        <v>5</v>
      </c>
      <c r="K8" s="1">
        <v>0</v>
      </c>
      <c r="L8" s="1">
        <v>0</v>
      </c>
      <c r="M8" s="1">
        <v>4</v>
      </c>
      <c r="N8" s="1">
        <v>16</v>
      </c>
      <c r="O8" s="1">
        <v>14</v>
      </c>
      <c r="P8" s="1"/>
      <c r="Q8" s="1">
        <v>34.075684618281592</v>
      </c>
      <c r="R8" s="1">
        <v>0</v>
      </c>
      <c r="S8" s="1">
        <v>104.97</v>
      </c>
      <c r="T8" s="1">
        <v>125.11</v>
      </c>
      <c r="U8" s="1">
        <v>120</v>
      </c>
      <c r="V8" s="29">
        <v>281</v>
      </c>
    </row>
    <row r="9" spans="1:22" x14ac:dyDescent="0.25">
      <c r="A9" s="20" t="s">
        <v>3</v>
      </c>
      <c r="B9" s="27">
        <f t="shared" si="0"/>
        <v>0.38926023685025096</v>
      </c>
      <c r="C9" s="109">
        <v>-66133.542983529507</v>
      </c>
      <c r="D9" s="1">
        <v>-64104.986967854988</v>
      </c>
      <c r="E9" s="91">
        <v>298035.2381960515</v>
      </c>
      <c r="F9" s="1">
        <v>214528.01303214501</v>
      </c>
      <c r="G9" s="1">
        <v>313835.47784361814</v>
      </c>
      <c r="H9" s="1">
        <v>280828</v>
      </c>
      <c r="I9" s="1">
        <v>314142.23142021155</v>
      </c>
      <c r="J9" s="1">
        <v>368926.1</v>
      </c>
      <c r="K9" s="1">
        <v>152696</v>
      </c>
      <c r="L9" s="70">
        <v>391916.57</v>
      </c>
      <c r="M9" s="70">
        <v>389812.28900000005</v>
      </c>
      <c r="N9" s="70">
        <v>402370</v>
      </c>
      <c r="O9" s="70">
        <v>338816</v>
      </c>
      <c r="P9" s="70">
        <v>318541</v>
      </c>
      <c r="Q9" s="70">
        <v>372315.94126943563</v>
      </c>
      <c r="R9" s="70">
        <v>358127.7895695655</v>
      </c>
      <c r="S9" s="70">
        <v>361636.99</v>
      </c>
      <c r="T9" s="70">
        <v>407816.56</v>
      </c>
      <c r="U9" s="1">
        <v>326106.8</v>
      </c>
      <c r="V9" s="29">
        <v>321678</v>
      </c>
    </row>
    <row r="10" spans="1:22" x14ac:dyDescent="0.25">
      <c r="A10" s="20" t="s">
        <v>17</v>
      </c>
      <c r="B10" s="27">
        <f t="shared" si="0"/>
        <v>-0.35199000354872395</v>
      </c>
      <c r="C10" s="109">
        <v>-12656.829543564192</v>
      </c>
      <c r="D10" s="1">
        <v>-21898.717140639768</v>
      </c>
      <c r="E10" s="91">
        <v>28246.291031007691</v>
      </c>
      <c r="F10" s="1">
        <v>43589.282859360232</v>
      </c>
      <c r="G10" s="1">
        <v>30260.340429080868</v>
      </c>
      <c r="H10" s="1">
        <v>50461.599999999999</v>
      </c>
      <c r="I10" s="1">
        <v>27510.53654281146</v>
      </c>
      <c r="J10" s="1">
        <v>42076.700000000004</v>
      </c>
      <c r="K10" s="1">
        <v>41022</v>
      </c>
      <c r="L10" s="70">
        <v>37277.525000000001</v>
      </c>
      <c r="M10" s="70">
        <v>49195.53</v>
      </c>
      <c r="N10" s="70">
        <v>44624</v>
      </c>
      <c r="O10" s="70">
        <v>38772</v>
      </c>
      <c r="P10" s="70">
        <v>18246</v>
      </c>
      <c r="Q10" s="70">
        <v>29326.135518104053</v>
      </c>
      <c r="R10" s="70">
        <v>26576.570192264644</v>
      </c>
      <c r="S10" s="70">
        <v>20353.16</v>
      </c>
      <c r="T10" s="70">
        <v>22961.119999999999</v>
      </c>
      <c r="U10" s="1">
        <v>11700</v>
      </c>
      <c r="V10" s="29">
        <v>13647</v>
      </c>
    </row>
    <row r="11" spans="1:22" x14ac:dyDescent="0.25">
      <c r="A11" s="20" t="s">
        <v>10</v>
      </c>
      <c r="B11" s="27" t="str">
        <f t="shared" si="0"/>
        <v/>
      </c>
      <c r="C11" s="109">
        <v>0</v>
      </c>
      <c r="D11" s="1">
        <v>0</v>
      </c>
      <c r="E11" s="91"/>
      <c r="F11" s="1"/>
      <c r="G11" s="1"/>
      <c r="H11" s="1"/>
      <c r="I11" s="1"/>
      <c r="J11" s="1">
        <v>40</v>
      </c>
      <c r="K11" s="1">
        <v>584</v>
      </c>
      <c r="L11" s="70">
        <v>566</v>
      </c>
      <c r="M11" s="70">
        <v>1170</v>
      </c>
      <c r="N11" s="70">
        <v>610</v>
      </c>
      <c r="O11" s="70">
        <v>2062</v>
      </c>
      <c r="P11" s="70">
        <v>1968</v>
      </c>
      <c r="Q11" s="70">
        <v>2010.4653924786141</v>
      </c>
      <c r="R11" s="70">
        <v>528.94189702494305</v>
      </c>
      <c r="S11" s="70">
        <v>2814.24</v>
      </c>
      <c r="T11" s="70">
        <v>3196.52</v>
      </c>
      <c r="U11" s="1">
        <v>2834.8</v>
      </c>
      <c r="V11" s="29">
        <v>3174</v>
      </c>
    </row>
    <row r="12" spans="1:22" x14ac:dyDescent="0.25">
      <c r="A12" s="20" t="s">
        <v>27</v>
      </c>
      <c r="B12" s="27">
        <f t="shared" si="0"/>
        <v>-0.25043255009209131</v>
      </c>
      <c r="C12" s="109">
        <v>-25</v>
      </c>
      <c r="D12" s="1">
        <v>-97.299999999999955</v>
      </c>
      <c r="E12" s="91">
        <v>1343</v>
      </c>
      <c r="F12" s="1">
        <v>1791.7</v>
      </c>
      <c r="G12" s="1">
        <v>3403.9</v>
      </c>
      <c r="H12" s="1">
        <v>1948.8</v>
      </c>
      <c r="I12" s="1">
        <v>3997.2</v>
      </c>
      <c r="J12" s="1">
        <v>4321.6000000000004</v>
      </c>
      <c r="K12" s="1">
        <v>3000</v>
      </c>
      <c r="L12" s="70">
        <v>3915.3</v>
      </c>
      <c r="M12" s="70">
        <v>7313.9</v>
      </c>
      <c r="N12" s="70">
        <v>6991</v>
      </c>
      <c r="O12" s="70">
        <v>9545</v>
      </c>
      <c r="P12" s="70">
        <v>6035</v>
      </c>
      <c r="Q12" s="70">
        <v>9578.2740557916823</v>
      </c>
      <c r="R12" s="70">
        <v>1170.2964932278628</v>
      </c>
      <c r="S12" s="70">
        <v>13220.48</v>
      </c>
      <c r="T12" s="70">
        <v>13752.68</v>
      </c>
      <c r="U12" s="1">
        <v>13549.2</v>
      </c>
      <c r="V12" s="29">
        <v>11577</v>
      </c>
    </row>
    <row r="13" spans="1:22" x14ac:dyDescent="0.25">
      <c r="A13" s="20" t="s">
        <v>50</v>
      </c>
      <c r="B13" s="27" t="str">
        <f t="shared" si="0"/>
        <v/>
      </c>
      <c r="C13" s="109">
        <v>0</v>
      </c>
      <c r="D13" s="1">
        <v>0</v>
      </c>
      <c r="E13" s="91"/>
      <c r="F13" s="1"/>
      <c r="G13" s="1"/>
      <c r="H13" s="1"/>
      <c r="I13" s="1"/>
      <c r="J13" s="1">
        <v>0</v>
      </c>
      <c r="K13" s="1">
        <v>0</v>
      </c>
      <c r="L13" s="70">
        <v>0</v>
      </c>
      <c r="M13" s="70">
        <v>0</v>
      </c>
      <c r="N13" s="70">
        <v>6</v>
      </c>
      <c r="O13" s="70"/>
      <c r="P13" s="70"/>
      <c r="Q13" s="70">
        <v>2.0044520363695058</v>
      </c>
      <c r="R13" s="70">
        <v>0</v>
      </c>
      <c r="S13" s="70">
        <v>2</v>
      </c>
      <c r="T13" s="70">
        <v>3</v>
      </c>
      <c r="U13" s="1">
        <v>0</v>
      </c>
      <c r="V13" s="29">
        <v>13</v>
      </c>
    </row>
    <row r="14" spans="1:22" x14ac:dyDescent="0.25">
      <c r="A14" s="20" t="s">
        <v>105</v>
      </c>
      <c r="B14" s="27">
        <f t="shared" si="0"/>
        <v>-9.8302072545121938E-2</v>
      </c>
      <c r="C14" s="109">
        <v>-1599.6319999999996</v>
      </c>
      <c r="D14" s="1">
        <v>-2383.0632651794567</v>
      </c>
      <c r="E14" s="91">
        <v>4722.1350000000002</v>
      </c>
      <c r="F14" s="1">
        <v>5236.9367348205433</v>
      </c>
      <c r="G14" s="1">
        <v>7206.095413071529</v>
      </c>
      <c r="H14" s="1">
        <v>8024.2999999999993</v>
      </c>
      <c r="I14" s="1">
        <v>5192.5960628237863</v>
      </c>
      <c r="J14" s="1">
        <v>7615.2</v>
      </c>
      <c r="K14" s="1">
        <v>2624</v>
      </c>
      <c r="L14" s="70">
        <v>8335.43</v>
      </c>
      <c r="M14" s="70">
        <v>10162.19</v>
      </c>
      <c r="N14" s="70">
        <v>14809</v>
      </c>
      <c r="O14" s="70">
        <v>10837</v>
      </c>
      <c r="P14" s="70">
        <v>11344</v>
      </c>
      <c r="Q14" s="70">
        <v>6429.2799066551888</v>
      </c>
      <c r="R14" s="70">
        <v>14051.587397247065</v>
      </c>
      <c r="S14" s="70">
        <v>8328.0400000000009</v>
      </c>
      <c r="T14" s="70">
        <v>23702.27</v>
      </c>
      <c r="U14" s="1">
        <v>12902</v>
      </c>
      <c r="V14" s="29">
        <v>18613</v>
      </c>
    </row>
    <row r="15" spans="1:22" x14ac:dyDescent="0.25">
      <c r="A15" s="20" t="s">
        <v>13</v>
      </c>
      <c r="B15" s="27">
        <f t="shared" si="0"/>
        <v>-9.0683131934645375E-3</v>
      </c>
      <c r="C15" s="109">
        <v>-4539.8999999999978</v>
      </c>
      <c r="D15" s="1">
        <v>-6121.5999999999985</v>
      </c>
      <c r="E15" s="91">
        <v>27668.2</v>
      </c>
      <c r="F15" s="1">
        <v>27921.4</v>
      </c>
      <c r="G15" s="1">
        <v>29030.1</v>
      </c>
      <c r="H15" s="1">
        <v>29930.799999999999</v>
      </c>
      <c r="I15" s="1">
        <v>21278.400000000001</v>
      </c>
      <c r="J15" s="1">
        <v>23283</v>
      </c>
      <c r="K15" s="1"/>
      <c r="L15" s="70"/>
      <c r="M15" s="70"/>
      <c r="N15" s="70"/>
      <c r="O15" s="70"/>
      <c r="P15" s="70"/>
      <c r="Q15" s="70"/>
      <c r="R15" s="70"/>
      <c r="S15" s="70"/>
      <c r="T15" s="70"/>
      <c r="U15" s="1"/>
      <c r="V15" s="29"/>
    </row>
    <row r="16" spans="1:22" x14ac:dyDescent="0.25">
      <c r="A16" s="20" t="s">
        <v>19</v>
      </c>
      <c r="B16" s="27">
        <f t="shared" si="0"/>
        <v>-0.40040176482191675</v>
      </c>
      <c r="C16" s="109">
        <v>-18947.390222222217</v>
      </c>
      <c r="D16" s="1">
        <v>-30161.188816682028</v>
      </c>
      <c r="E16" s="91">
        <v>30232.828999999998</v>
      </c>
      <c r="F16" s="1">
        <v>50421.811183317972</v>
      </c>
      <c r="G16" s="1">
        <v>50176.50237526097</v>
      </c>
      <c r="H16" s="1">
        <v>68552.599999999991</v>
      </c>
      <c r="I16" s="1">
        <v>50084.106841427594</v>
      </c>
      <c r="J16" s="1">
        <v>66756.7</v>
      </c>
      <c r="K16" s="1">
        <v>36400</v>
      </c>
      <c r="L16" s="70">
        <v>65665.899999999994</v>
      </c>
      <c r="M16" s="70">
        <v>62788.66</v>
      </c>
      <c r="N16" s="70">
        <v>61368</v>
      </c>
      <c r="O16" s="70">
        <v>63690</v>
      </c>
      <c r="P16" s="70">
        <v>43299</v>
      </c>
      <c r="Q16" s="70">
        <v>48575.890649378598</v>
      </c>
      <c r="R16" s="70">
        <v>49376.274429112098</v>
      </c>
      <c r="S16" s="70">
        <v>64511.67</v>
      </c>
      <c r="T16" s="70">
        <v>53222.61</v>
      </c>
      <c r="U16" s="1">
        <v>34722.5</v>
      </c>
      <c r="V16" s="29">
        <v>59840</v>
      </c>
    </row>
    <row r="17" spans="1:22" x14ac:dyDescent="0.25">
      <c r="A17" s="20" t="s">
        <v>106</v>
      </c>
      <c r="B17" s="27">
        <f t="shared" si="0"/>
        <v>-0.66680181641258518</v>
      </c>
      <c r="C17" s="109">
        <v>-2766</v>
      </c>
      <c r="D17" s="1">
        <v>-4163</v>
      </c>
      <c r="E17" s="91">
        <v>4109</v>
      </c>
      <c r="F17" s="1">
        <v>12332</v>
      </c>
      <c r="G17" s="1">
        <v>5609</v>
      </c>
      <c r="H17" s="1">
        <v>12071</v>
      </c>
      <c r="I17" s="1">
        <v>6277.2</v>
      </c>
      <c r="J17" s="1">
        <v>12227</v>
      </c>
      <c r="K17" s="1">
        <v>0</v>
      </c>
      <c r="L17" s="70">
        <v>8670.4</v>
      </c>
      <c r="M17" s="70">
        <v>8807.5</v>
      </c>
      <c r="N17" s="70">
        <v>8239</v>
      </c>
      <c r="O17" s="70">
        <v>5491</v>
      </c>
      <c r="P17" s="70">
        <v>2296</v>
      </c>
      <c r="Q17" s="70">
        <v>3550.886782428579</v>
      </c>
      <c r="R17" s="70">
        <v>5993.0020249258732</v>
      </c>
      <c r="S17" s="70">
        <v>4276.1000000000004</v>
      </c>
      <c r="T17" s="70">
        <v>1547.9</v>
      </c>
      <c r="U17" s="1">
        <v>4659.6000000000004</v>
      </c>
      <c r="V17" s="29">
        <v>230</v>
      </c>
    </row>
    <row r="18" spans="1:22" x14ac:dyDescent="0.25">
      <c r="A18" s="20" t="s">
        <v>21</v>
      </c>
      <c r="B18" s="27" t="str">
        <f t="shared" si="0"/>
        <v/>
      </c>
      <c r="C18" s="109">
        <v>0</v>
      </c>
      <c r="D18" s="1">
        <v>0</v>
      </c>
      <c r="E18" s="91"/>
      <c r="F18" s="1"/>
      <c r="G18" s="1"/>
      <c r="H18" s="1"/>
      <c r="I18" s="1"/>
      <c r="J18" s="1">
        <v>407</v>
      </c>
      <c r="K18" s="1">
        <v>671</v>
      </c>
      <c r="L18" s="70">
        <v>4410.3999999999996</v>
      </c>
      <c r="M18" s="70">
        <v>5295.5</v>
      </c>
      <c r="N18" s="70">
        <v>5820</v>
      </c>
      <c r="O18" s="70">
        <v>3515</v>
      </c>
      <c r="P18" s="70">
        <v>365</v>
      </c>
      <c r="Q18" s="70">
        <v>4173.2691397213102</v>
      </c>
      <c r="R18" s="70">
        <v>4684.1970273537181</v>
      </c>
      <c r="S18" s="70">
        <v>2353.65</v>
      </c>
      <c r="T18" s="70">
        <v>3581.78</v>
      </c>
      <c r="U18" s="1">
        <v>989</v>
      </c>
      <c r="V18" s="29">
        <v>5055</v>
      </c>
    </row>
    <row r="19" spans="1:22" ht="13.8" thickBot="1" x14ac:dyDescent="0.3">
      <c r="A19" s="21" t="s">
        <v>59</v>
      </c>
      <c r="B19" s="27">
        <f t="shared" si="0"/>
        <v>0.42899720860584922</v>
      </c>
      <c r="C19" s="109">
        <v>-34838.651134201005</v>
      </c>
      <c r="D19" s="1">
        <v>-28475.842956100067</v>
      </c>
      <c r="E19" s="91">
        <v>118186.86755025</v>
      </c>
      <c r="F19" s="1">
        <v>82706.157043899933</v>
      </c>
      <c r="G19" s="1">
        <v>61123</v>
      </c>
      <c r="H19" s="1">
        <f>6660+28942</f>
        <v>35602</v>
      </c>
      <c r="I19" s="1">
        <f>(3861+18613)</f>
        <v>22474</v>
      </c>
      <c r="J19" s="1">
        <v>30265</v>
      </c>
      <c r="K19" s="1">
        <v>15409</v>
      </c>
      <c r="L19" s="70">
        <v>35897.199999999997</v>
      </c>
      <c r="M19" s="70">
        <v>28007.599999999999</v>
      </c>
      <c r="N19" s="70">
        <v>26283</v>
      </c>
      <c r="O19" s="70">
        <v>19644</v>
      </c>
      <c r="P19" s="70">
        <v>7129</v>
      </c>
      <c r="Q19" s="70">
        <v>12141.96821030828</v>
      </c>
      <c r="R19" s="70">
        <v>19096.107272858761</v>
      </c>
      <c r="S19" s="70">
        <v>30939</v>
      </c>
      <c r="T19" s="70">
        <v>17817</v>
      </c>
      <c r="U19" s="1">
        <v>14196</v>
      </c>
      <c r="V19" s="29">
        <v>16146</v>
      </c>
    </row>
    <row r="20" spans="1:22" ht="13.8" thickBot="1" x14ac:dyDescent="0.3">
      <c r="A20" s="23" t="s">
        <v>23</v>
      </c>
      <c r="B20" s="95">
        <f t="shared" si="0"/>
        <v>0.16960988029822799</v>
      </c>
      <c r="C20" s="115">
        <v>-203921.0134346002</v>
      </c>
      <c r="D20" s="43">
        <v>-220785.69986312604</v>
      </c>
      <c r="E20" s="124">
        <f t="shared" ref="E20:J20" si="1">SUM(E2:E19)</f>
        <v>636932.46433729865</v>
      </c>
      <c r="F20" s="43">
        <f t="shared" si="1"/>
        <v>544568.30013687396</v>
      </c>
      <c r="G20" s="43">
        <f t="shared" si="1"/>
        <v>619673.19556632405</v>
      </c>
      <c r="H20" s="43">
        <f t="shared" si="1"/>
        <v>607116.19999999995</v>
      </c>
      <c r="I20" s="43">
        <f t="shared" si="1"/>
        <v>556714.00613923301</v>
      </c>
      <c r="J20" s="43">
        <f t="shared" si="1"/>
        <v>692394.59999999986</v>
      </c>
      <c r="K20" s="43">
        <f t="shared" ref="K20:P20" si="2">SUM(K2:K19)</f>
        <v>326613</v>
      </c>
      <c r="L20" s="43">
        <f t="shared" si="2"/>
        <v>673776.64500000014</v>
      </c>
      <c r="M20" s="43">
        <f t="shared" si="2"/>
        <v>681203.5120000001</v>
      </c>
      <c r="N20" s="43">
        <f t="shared" si="2"/>
        <v>707376</v>
      </c>
      <c r="O20" s="43">
        <f t="shared" si="2"/>
        <v>608664</v>
      </c>
      <c r="P20" s="43">
        <f t="shared" si="2"/>
        <v>472911</v>
      </c>
      <c r="Q20" s="43">
        <f t="shared" ref="Q20:V20" si="3">SUM(Q2:Q19)</f>
        <v>596108</v>
      </c>
      <c r="R20" s="43">
        <f t="shared" si="3"/>
        <v>582902</v>
      </c>
      <c r="S20" s="43">
        <f t="shared" si="3"/>
        <v>585606.15999999992</v>
      </c>
      <c r="T20" s="43">
        <f t="shared" si="3"/>
        <v>615685.20000000007</v>
      </c>
      <c r="U20" s="43">
        <f t="shared" si="3"/>
        <v>484917.1</v>
      </c>
      <c r="V20" s="79">
        <f t="shared" si="3"/>
        <v>495348</v>
      </c>
    </row>
    <row r="21" spans="1:22" x14ac:dyDescent="0.25">
      <c r="B21" s="36" t="str">
        <f t="shared" si="0"/>
        <v/>
      </c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22" ht="13.8" thickBot="1" x14ac:dyDescent="0.3">
      <c r="B22" s="36" t="str">
        <f t="shared" si="0"/>
        <v/>
      </c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22" ht="13.8" thickBot="1" x14ac:dyDescent="0.3">
      <c r="A23" s="23" t="s">
        <v>25</v>
      </c>
      <c r="B23" s="24" t="s">
        <v>182</v>
      </c>
      <c r="C23" s="125" t="s">
        <v>183</v>
      </c>
      <c r="D23" s="69" t="s">
        <v>178</v>
      </c>
      <c r="E23" s="127">
        <v>45383</v>
      </c>
      <c r="F23" s="101">
        <v>45017</v>
      </c>
      <c r="G23" s="101">
        <v>44652</v>
      </c>
      <c r="H23" s="101">
        <v>44287</v>
      </c>
      <c r="I23" s="101">
        <v>43922</v>
      </c>
      <c r="J23" s="101">
        <v>43556</v>
      </c>
      <c r="K23" s="101">
        <v>43191</v>
      </c>
      <c r="L23" s="25">
        <v>42826</v>
      </c>
      <c r="M23" s="25">
        <v>42461</v>
      </c>
      <c r="N23" s="25">
        <v>42095</v>
      </c>
      <c r="O23" s="25">
        <v>41730</v>
      </c>
      <c r="P23" s="25">
        <v>41365</v>
      </c>
      <c r="Q23" s="25">
        <v>41000</v>
      </c>
      <c r="R23" s="25">
        <v>40634</v>
      </c>
      <c r="S23" s="25">
        <v>40269</v>
      </c>
      <c r="T23" s="25">
        <v>39904</v>
      </c>
      <c r="U23" s="25">
        <v>39539</v>
      </c>
      <c r="V23" s="26">
        <v>39173</v>
      </c>
    </row>
    <row r="24" spans="1:22" x14ac:dyDescent="0.25">
      <c r="A24" s="20" t="s">
        <v>103</v>
      </c>
      <c r="B24" s="27">
        <f t="shared" ref="B24:B31" si="4">IFERROR(((E24-F24)/F24),"")</f>
        <v>-1</v>
      </c>
      <c r="C24" s="109">
        <v>-395.44819314585135</v>
      </c>
      <c r="D24" s="1">
        <v>-7210</v>
      </c>
      <c r="E24" s="91"/>
      <c r="F24" s="1">
        <v>2020</v>
      </c>
      <c r="G24" s="1">
        <v>54.767848781886734</v>
      </c>
      <c r="H24" s="1">
        <v>22320.682140573485</v>
      </c>
      <c r="I24" s="1">
        <v>0</v>
      </c>
      <c r="J24" s="1">
        <v>26829.819830192278</v>
      </c>
      <c r="K24" s="1">
        <v>34021.795290985603</v>
      </c>
      <c r="L24" s="1">
        <v>20538.413424085287</v>
      </c>
      <c r="M24" s="1">
        <v>25154.208800925109</v>
      </c>
      <c r="N24" s="1">
        <v>17792</v>
      </c>
      <c r="O24" s="1">
        <v>26651</v>
      </c>
      <c r="P24" s="1">
        <v>2711.7173071990696</v>
      </c>
      <c r="Q24" s="1">
        <v>28065.939289488546</v>
      </c>
      <c r="R24" s="1">
        <v>6928</v>
      </c>
      <c r="S24" s="1">
        <v>3959</v>
      </c>
      <c r="T24" s="1">
        <v>3252</v>
      </c>
      <c r="U24" s="1">
        <v>2111</v>
      </c>
      <c r="V24" s="29">
        <v>3759</v>
      </c>
    </row>
    <row r="25" spans="1:22" x14ac:dyDescent="0.25">
      <c r="A25" s="20" t="s">
        <v>7</v>
      </c>
      <c r="B25" s="27">
        <f t="shared" si="4"/>
        <v>-1</v>
      </c>
      <c r="C25" s="109">
        <v>-1561.2242726577649</v>
      </c>
      <c r="D25" s="1">
        <v>-2210</v>
      </c>
      <c r="E25" s="91"/>
      <c r="F25" s="1">
        <v>1100</v>
      </c>
      <c r="G25" s="1">
        <v>2760.6989728577805</v>
      </c>
      <c r="H25" s="1">
        <v>9539.8291300595956</v>
      </c>
      <c r="I25" s="1">
        <v>0</v>
      </c>
      <c r="J25" s="1">
        <v>16488.082891178656</v>
      </c>
      <c r="K25" s="1">
        <v>15753.36084712658</v>
      </c>
      <c r="L25" s="1">
        <v>10381.299867177708</v>
      </c>
      <c r="M25" s="1">
        <v>25574.152276432193</v>
      </c>
      <c r="N25" s="1">
        <v>18835</v>
      </c>
      <c r="O25" s="1">
        <v>30896</v>
      </c>
      <c r="P25" s="1">
        <v>19726.746595310411</v>
      </c>
      <c r="Q25" s="1">
        <v>45864.997029011407</v>
      </c>
      <c r="R25" s="1">
        <v>18811</v>
      </c>
      <c r="S25" s="1">
        <v>36175</v>
      </c>
      <c r="T25" s="1">
        <v>30863</v>
      </c>
      <c r="U25" s="1">
        <v>29032</v>
      </c>
      <c r="V25" s="29">
        <v>35287</v>
      </c>
    </row>
    <row r="26" spans="1:22" x14ac:dyDescent="0.25">
      <c r="A26" s="20" t="s">
        <v>104</v>
      </c>
      <c r="B26" s="27" t="str">
        <f t="shared" si="4"/>
        <v/>
      </c>
      <c r="C26" s="109">
        <v>-6</v>
      </c>
      <c r="D26" s="1">
        <v>-390</v>
      </c>
      <c r="E26" s="91"/>
      <c r="F26" s="1">
        <v>0</v>
      </c>
      <c r="G26" s="1">
        <v>314.49360592570628</v>
      </c>
      <c r="H26" s="1">
        <v>32.482359064855558</v>
      </c>
      <c r="I26" s="1">
        <v>0</v>
      </c>
      <c r="J26" s="1">
        <v>990.1694059020607</v>
      </c>
      <c r="K26" s="1">
        <v>74.76443915123636</v>
      </c>
      <c r="L26" s="1">
        <v>89.2790609218642</v>
      </c>
      <c r="M26" s="1">
        <v>474.0559315953858</v>
      </c>
      <c r="N26" s="1">
        <v>387</v>
      </c>
      <c r="O26" s="1">
        <v>408</v>
      </c>
      <c r="P26" s="1">
        <v>31.68894328710233</v>
      </c>
      <c r="Q26" s="1">
        <v>4834.4434599084934</v>
      </c>
      <c r="R26" s="1">
        <v>172</v>
      </c>
      <c r="S26" s="1">
        <v>4922</v>
      </c>
      <c r="T26" s="1">
        <v>340</v>
      </c>
      <c r="U26" s="1">
        <v>2995</v>
      </c>
      <c r="V26" s="29">
        <v>2087</v>
      </c>
    </row>
    <row r="27" spans="1:22" x14ac:dyDescent="0.25">
      <c r="A27" s="20" t="s">
        <v>30</v>
      </c>
      <c r="B27" s="27">
        <f t="shared" si="4"/>
        <v>-1</v>
      </c>
      <c r="C27" s="109">
        <v>-601.80252261043927</v>
      </c>
      <c r="D27" s="1">
        <v>-1570</v>
      </c>
      <c r="E27" s="91"/>
      <c r="F27" s="1">
        <v>390</v>
      </c>
      <c r="G27" s="1">
        <v>67.849985351461612</v>
      </c>
      <c r="H27" s="1">
        <v>9357.2753535905285</v>
      </c>
      <c r="I27" s="1">
        <v>0</v>
      </c>
      <c r="J27" s="1">
        <v>3798.4529218193002</v>
      </c>
      <c r="K27" s="1">
        <v>5314.6478051631402</v>
      </c>
      <c r="L27" s="1">
        <v>2996.1253677626109</v>
      </c>
      <c r="M27" s="1">
        <v>8277.0377277709031</v>
      </c>
      <c r="N27" s="1">
        <v>1006</v>
      </c>
      <c r="O27" s="1">
        <v>11342</v>
      </c>
      <c r="P27" s="1">
        <v>2078.8098475820602</v>
      </c>
      <c r="Q27" s="1">
        <v>8397.915270700918</v>
      </c>
      <c r="R27" s="1">
        <v>1777</v>
      </c>
      <c r="S27" s="1">
        <v>9870</v>
      </c>
      <c r="T27" s="1">
        <v>666</v>
      </c>
      <c r="U27" s="1">
        <v>1895</v>
      </c>
      <c r="V27" s="29">
        <v>4095</v>
      </c>
    </row>
    <row r="28" spans="1:22" ht="13.8" thickBot="1" x14ac:dyDescent="0.3">
      <c r="A28" s="20" t="s">
        <v>59</v>
      </c>
      <c r="B28" s="27">
        <f t="shared" si="4"/>
        <v>-1</v>
      </c>
      <c r="C28" s="109">
        <v>-1504.2083897158323</v>
      </c>
      <c r="D28" s="1">
        <v>-2400</v>
      </c>
      <c r="E28" s="91"/>
      <c r="F28" s="1">
        <v>1050</v>
      </c>
      <c r="G28" s="1">
        <v>182.06669463699316</v>
      </c>
      <c r="H28" s="1">
        <v>1776.4745008376181</v>
      </c>
      <c r="I28" s="1">
        <v>0</v>
      </c>
      <c r="J28" s="1">
        <v>1327.7167251324565</v>
      </c>
      <c r="K28" s="1">
        <v>330</v>
      </c>
      <c r="L28" s="1">
        <v>700</v>
      </c>
      <c r="M28" s="1">
        <v>752.30252958324445</v>
      </c>
      <c r="N28" s="1">
        <v>541.65417463634424</v>
      </c>
      <c r="O28" s="1">
        <v>719</v>
      </c>
      <c r="P28" s="1">
        <v>215</v>
      </c>
      <c r="Q28" s="1">
        <v>158.32292448064237</v>
      </c>
      <c r="R28" s="1">
        <v>448</v>
      </c>
      <c r="S28" s="1">
        <v>1359</v>
      </c>
      <c r="T28" s="1">
        <v>23</v>
      </c>
      <c r="U28" s="1">
        <v>279</v>
      </c>
      <c r="V28" s="29">
        <v>226</v>
      </c>
    </row>
    <row r="29" spans="1:22" ht="13.8" thickBot="1" x14ac:dyDescent="0.3">
      <c r="A29" s="23" t="s">
        <v>23</v>
      </c>
      <c r="B29" s="95">
        <f t="shared" si="4"/>
        <v>-1</v>
      </c>
      <c r="C29" s="115">
        <v>-4068.6833781298878</v>
      </c>
      <c r="D29" s="43">
        <v>-13780</v>
      </c>
      <c r="E29" s="124">
        <f>SUM(E24:E28)</f>
        <v>0</v>
      </c>
      <c r="F29" s="43">
        <f>SUM(F24:F28)</f>
        <v>4560</v>
      </c>
      <c r="G29" s="43">
        <f>SUM(G24:G28)</f>
        <v>3379.8771075538284</v>
      </c>
      <c r="H29" s="43">
        <f>SUM(H24:H28)</f>
        <v>43026.743484126084</v>
      </c>
      <c r="I29" s="43">
        <v>0</v>
      </c>
      <c r="J29" s="43">
        <f>SUM(J24:J28)</f>
        <v>49434.241774224749</v>
      </c>
      <c r="K29" s="43">
        <f>SUM(K24:K28)</f>
        <v>55494.568382426565</v>
      </c>
      <c r="L29" s="43">
        <v>34705.11771994747</v>
      </c>
      <c r="M29" s="43">
        <v>60231.757266306835</v>
      </c>
      <c r="N29" s="43">
        <v>38561.654174636344</v>
      </c>
      <c r="O29" s="43">
        <v>70016</v>
      </c>
      <c r="P29" s="43">
        <f>SUM(P24:P28)</f>
        <v>24763.962693378642</v>
      </c>
      <c r="Q29" s="43">
        <f t="shared" ref="Q29:V29" si="5">SUM(Q24:Q28)</f>
        <v>87321.617973590008</v>
      </c>
      <c r="R29" s="43">
        <f t="shared" si="5"/>
        <v>28136</v>
      </c>
      <c r="S29" s="43">
        <f t="shared" si="5"/>
        <v>56285</v>
      </c>
      <c r="T29" s="43">
        <f t="shared" si="5"/>
        <v>35144</v>
      </c>
      <c r="U29" s="43">
        <f t="shared" si="5"/>
        <v>36312</v>
      </c>
      <c r="V29" s="79">
        <f t="shared" si="5"/>
        <v>45454</v>
      </c>
    </row>
    <row r="30" spans="1:22" x14ac:dyDescent="0.25">
      <c r="B30" t="str">
        <f t="shared" si="4"/>
        <v/>
      </c>
    </row>
    <row r="31" spans="1:22" x14ac:dyDescent="0.25">
      <c r="A31" s="46" t="s">
        <v>180</v>
      </c>
      <c r="B31" t="str">
        <f t="shared" si="4"/>
        <v/>
      </c>
    </row>
    <row r="36" spans="21:23" ht="17.399999999999999" x14ac:dyDescent="0.3">
      <c r="U36" s="5"/>
      <c r="V36" s="1"/>
      <c r="W36" s="1"/>
    </row>
    <row r="37" spans="21:23" ht="17.399999999999999" x14ac:dyDescent="0.3">
      <c r="U37" s="5"/>
      <c r="V37" s="1"/>
      <c r="W37" s="1"/>
    </row>
    <row r="38" spans="21:23" ht="17.399999999999999" x14ac:dyDescent="0.3">
      <c r="U38" s="5"/>
      <c r="V38" s="1"/>
      <c r="W38" s="1"/>
    </row>
    <row r="39" spans="21:23" ht="17.399999999999999" x14ac:dyDescent="0.3">
      <c r="U39" s="5"/>
      <c r="V39" s="1"/>
      <c r="W39" s="1"/>
    </row>
    <row r="40" spans="21:23" ht="17.399999999999999" x14ac:dyDescent="0.3">
      <c r="U40" s="5"/>
      <c r="V40" s="1"/>
      <c r="W40" s="1"/>
    </row>
    <row r="41" spans="21:23" ht="17.399999999999999" x14ac:dyDescent="0.3">
      <c r="U41" s="5"/>
      <c r="V41" s="1"/>
      <c r="W41" s="1"/>
    </row>
    <row r="42" spans="21:23" ht="17.399999999999999" x14ac:dyDescent="0.3">
      <c r="U42" s="5"/>
      <c r="V42" s="1"/>
      <c r="W42" s="1"/>
    </row>
    <row r="43" spans="21:23" ht="17.399999999999999" x14ac:dyDescent="0.3">
      <c r="U43" s="5"/>
      <c r="V43" s="1"/>
      <c r="W43" s="1"/>
    </row>
    <row r="44" spans="21:23" ht="17.399999999999999" x14ac:dyDescent="0.3">
      <c r="U44" s="5"/>
      <c r="V44" s="1"/>
      <c r="W44" s="1"/>
    </row>
    <row r="45" spans="21:23" ht="17.399999999999999" x14ac:dyDescent="0.3">
      <c r="U45" s="5"/>
      <c r="V45" s="1"/>
      <c r="W45" s="1"/>
    </row>
    <row r="46" spans="21:23" ht="17.399999999999999" x14ac:dyDescent="0.3">
      <c r="U46" s="6"/>
      <c r="V46" s="1"/>
      <c r="W46" s="1"/>
    </row>
    <row r="47" spans="21:23" ht="18" x14ac:dyDescent="0.35">
      <c r="U47" s="7"/>
      <c r="V47" s="2"/>
      <c r="W47" s="2"/>
    </row>
  </sheetData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43"/>
  <sheetViews>
    <sheetView zoomScaleNormal="100"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10" width="11.6640625" customWidth="1"/>
    <col min="11" max="11" width="11.33203125" customWidth="1"/>
    <col min="12" max="12" width="10.77734375" customWidth="1"/>
    <col min="13" max="22" width="10.109375" bestFit="1" customWidth="1"/>
  </cols>
  <sheetData>
    <row r="1" spans="1:22" ht="13.8" thickBot="1" x14ac:dyDescent="0.3">
      <c r="A1" s="23" t="s">
        <v>24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5">
        <v>40269</v>
      </c>
      <c r="T1" s="25">
        <v>39904</v>
      </c>
      <c r="U1" s="25">
        <v>39539</v>
      </c>
      <c r="V1" s="26">
        <v>39173</v>
      </c>
    </row>
    <row r="2" spans="1:22" x14ac:dyDescent="0.25">
      <c r="A2" s="39" t="s">
        <v>4</v>
      </c>
      <c r="B2" s="27" t="str">
        <f t="shared" ref="B2:B20" si="0">IFERROR(((E2-F2)/F2),"")</f>
        <v/>
      </c>
      <c r="C2" s="109">
        <v>0</v>
      </c>
      <c r="D2" s="1">
        <v>0</v>
      </c>
      <c r="E2" s="91"/>
      <c r="F2" s="1"/>
      <c r="G2" s="1"/>
      <c r="H2" s="1"/>
      <c r="I2" s="1"/>
      <c r="J2" s="1"/>
      <c r="K2" s="37"/>
      <c r="L2" s="37"/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29">
        <v>0</v>
      </c>
    </row>
    <row r="3" spans="1:22" x14ac:dyDescent="0.25">
      <c r="A3" s="39" t="s">
        <v>33</v>
      </c>
      <c r="B3" s="27" t="str">
        <f t="shared" si="0"/>
        <v/>
      </c>
      <c r="C3" s="109">
        <v>0</v>
      </c>
      <c r="D3" s="1">
        <v>0</v>
      </c>
      <c r="E3" s="91"/>
      <c r="F3" s="1"/>
      <c r="G3" s="1"/>
      <c r="H3" s="1"/>
      <c r="I3" s="1"/>
      <c r="J3" s="1"/>
      <c r="K3" s="1"/>
      <c r="L3" s="1"/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8000</v>
      </c>
      <c r="T3" s="1">
        <v>1000</v>
      </c>
      <c r="U3" s="1">
        <v>0</v>
      </c>
      <c r="V3" s="29">
        <v>5000</v>
      </c>
    </row>
    <row r="4" spans="1:22" x14ac:dyDescent="0.25">
      <c r="A4" s="20" t="s">
        <v>2</v>
      </c>
      <c r="B4" s="27" t="str">
        <f t="shared" si="0"/>
        <v/>
      </c>
      <c r="C4" s="109">
        <v>0</v>
      </c>
      <c r="D4" s="1">
        <v>0</v>
      </c>
      <c r="E4" s="91"/>
      <c r="F4" s="1"/>
      <c r="G4" s="1"/>
      <c r="H4" s="1"/>
      <c r="I4" s="1"/>
      <c r="J4" s="1"/>
      <c r="K4" s="1"/>
      <c r="L4" s="1"/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5000</v>
      </c>
      <c r="T4" s="1">
        <v>1000</v>
      </c>
      <c r="U4" s="1">
        <v>0</v>
      </c>
      <c r="V4" s="29">
        <v>0</v>
      </c>
    </row>
    <row r="5" spans="1:22" x14ac:dyDescent="0.25">
      <c r="A5" s="20" t="s">
        <v>9</v>
      </c>
      <c r="B5" s="27">
        <f t="shared" si="0"/>
        <v>-0.16666666666666666</v>
      </c>
      <c r="C5" s="109">
        <v>-30000</v>
      </c>
      <c r="D5" s="1">
        <v>-15000</v>
      </c>
      <c r="E5" s="91">
        <v>25000</v>
      </c>
      <c r="F5" s="1">
        <v>30000</v>
      </c>
      <c r="G5" s="1">
        <v>50000</v>
      </c>
      <c r="H5" s="1">
        <v>30000</v>
      </c>
      <c r="I5" s="1">
        <v>15000</v>
      </c>
      <c r="J5" s="1">
        <v>20000</v>
      </c>
      <c r="K5" s="1">
        <v>7000</v>
      </c>
      <c r="L5" s="1">
        <v>10000</v>
      </c>
      <c r="M5" s="1">
        <v>15000</v>
      </c>
      <c r="N5" s="1">
        <v>12000</v>
      </c>
      <c r="O5" s="1">
        <v>25000</v>
      </c>
      <c r="P5" s="1">
        <v>5000</v>
      </c>
      <c r="Q5" s="1">
        <v>5000</v>
      </c>
      <c r="R5" s="1">
        <v>20000</v>
      </c>
      <c r="S5" s="1">
        <v>40000</v>
      </c>
      <c r="T5" s="1">
        <v>15000</v>
      </c>
      <c r="U5" s="1">
        <v>10000</v>
      </c>
      <c r="V5" s="29">
        <v>10000</v>
      </c>
    </row>
    <row r="6" spans="1:22" x14ac:dyDescent="0.25">
      <c r="A6" s="20" t="s">
        <v>14</v>
      </c>
      <c r="B6" s="27">
        <f t="shared" si="0"/>
        <v>-0.3</v>
      </c>
      <c r="C6" s="109">
        <v>-4000</v>
      </c>
      <c r="D6" s="1">
        <v>-5000</v>
      </c>
      <c r="E6" s="91">
        <v>7000</v>
      </c>
      <c r="F6" s="1">
        <v>10000</v>
      </c>
      <c r="G6" s="1">
        <v>20000</v>
      </c>
      <c r="H6" s="1">
        <v>45000</v>
      </c>
      <c r="I6" s="1">
        <v>40000</v>
      </c>
      <c r="J6" s="1">
        <v>40000</v>
      </c>
      <c r="K6" s="1">
        <v>40000</v>
      </c>
      <c r="L6" s="1">
        <v>50000</v>
      </c>
      <c r="M6" s="1">
        <v>45000</v>
      </c>
      <c r="N6" s="1">
        <v>40000</v>
      </c>
      <c r="O6" s="1">
        <v>40000</v>
      </c>
      <c r="P6" s="1">
        <v>40000</v>
      </c>
      <c r="Q6" s="1">
        <v>40000</v>
      </c>
      <c r="R6" s="1">
        <v>5000</v>
      </c>
      <c r="S6" s="1">
        <v>8000</v>
      </c>
      <c r="T6" s="1">
        <v>3000</v>
      </c>
      <c r="U6" s="1">
        <v>5000</v>
      </c>
      <c r="V6" s="29">
        <v>8000</v>
      </c>
    </row>
    <row r="7" spans="1:22" x14ac:dyDescent="0.25">
      <c r="A7" s="20" t="s">
        <v>3</v>
      </c>
      <c r="B7" s="27">
        <f t="shared" si="0"/>
        <v>0.54545454545454541</v>
      </c>
      <c r="C7" s="109">
        <v>-20000</v>
      </c>
      <c r="D7" s="1">
        <v>-30000</v>
      </c>
      <c r="E7" s="91">
        <v>170000</v>
      </c>
      <c r="F7" s="1">
        <v>110000</v>
      </c>
      <c r="G7" s="1">
        <v>120000</v>
      </c>
      <c r="H7" s="1">
        <v>60000</v>
      </c>
      <c r="I7" s="1">
        <v>60000</v>
      </c>
      <c r="J7" s="1">
        <v>70000</v>
      </c>
      <c r="K7" s="70">
        <v>90000</v>
      </c>
      <c r="L7" s="70">
        <v>95000</v>
      </c>
      <c r="M7" s="70">
        <v>95000</v>
      </c>
      <c r="N7" s="70">
        <v>85000</v>
      </c>
      <c r="O7" s="70">
        <v>80000</v>
      </c>
      <c r="P7" s="70">
        <v>65000</v>
      </c>
      <c r="Q7" s="70">
        <v>50000</v>
      </c>
      <c r="R7" s="70">
        <v>20000</v>
      </c>
      <c r="S7" s="70">
        <v>40000</v>
      </c>
      <c r="T7" s="70">
        <v>30000</v>
      </c>
      <c r="U7" s="1">
        <v>20000</v>
      </c>
      <c r="V7" s="29">
        <v>22000</v>
      </c>
    </row>
    <row r="8" spans="1:22" x14ac:dyDescent="0.25">
      <c r="A8" s="20" t="s">
        <v>10</v>
      </c>
      <c r="B8" s="27">
        <f t="shared" si="0"/>
        <v>-0.2608695652173913</v>
      </c>
      <c r="C8" s="109">
        <v>-25000</v>
      </c>
      <c r="D8" s="1">
        <v>-30000</v>
      </c>
      <c r="E8" s="91">
        <v>85000</v>
      </c>
      <c r="F8" s="1">
        <v>115000</v>
      </c>
      <c r="G8" s="1">
        <v>140000</v>
      </c>
      <c r="H8" s="1">
        <v>140000</v>
      </c>
      <c r="I8" s="1">
        <v>80000</v>
      </c>
      <c r="J8" s="1">
        <v>190000</v>
      </c>
      <c r="K8" s="70">
        <v>70000</v>
      </c>
      <c r="L8" s="70">
        <v>170000</v>
      </c>
      <c r="M8" s="70">
        <v>170000</v>
      </c>
      <c r="N8" s="70">
        <v>140000</v>
      </c>
      <c r="O8" s="70">
        <v>150000</v>
      </c>
      <c r="P8" s="70">
        <v>130000</v>
      </c>
      <c r="Q8" s="70">
        <v>120000</v>
      </c>
      <c r="R8" s="70">
        <v>40000</v>
      </c>
      <c r="S8" s="70">
        <v>60000</v>
      </c>
      <c r="T8" s="70">
        <v>70000</v>
      </c>
      <c r="U8" s="1">
        <v>20000</v>
      </c>
      <c r="V8" s="29">
        <v>40000</v>
      </c>
    </row>
    <row r="9" spans="1:22" x14ac:dyDescent="0.25">
      <c r="A9" s="20" t="s">
        <v>27</v>
      </c>
      <c r="B9" s="27">
        <f t="shared" si="0"/>
        <v>-0.4</v>
      </c>
      <c r="C9" s="109">
        <v>-10000</v>
      </c>
      <c r="D9" s="1">
        <v>-10000</v>
      </c>
      <c r="E9" s="91">
        <v>15000</v>
      </c>
      <c r="F9" s="1">
        <v>25000</v>
      </c>
      <c r="G9" s="1">
        <v>35000</v>
      </c>
      <c r="H9" s="1">
        <v>40000</v>
      </c>
      <c r="I9" s="1">
        <v>10000</v>
      </c>
      <c r="J9" s="1">
        <v>30000</v>
      </c>
      <c r="K9" s="70">
        <v>10000</v>
      </c>
      <c r="L9" s="70">
        <v>45000</v>
      </c>
      <c r="M9" s="70">
        <v>50000</v>
      </c>
      <c r="N9" s="70">
        <v>40000</v>
      </c>
      <c r="O9" s="70">
        <v>40000</v>
      </c>
      <c r="P9" s="70">
        <v>40000</v>
      </c>
      <c r="Q9" s="70">
        <v>40000</v>
      </c>
      <c r="R9" s="70">
        <v>10000</v>
      </c>
      <c r="S9" s="70">
        <v>30000</v>
      </c>
      <c r="T9" s="70">
        <v>5000</v>
      </c>
      <c r="U9" s="1">
        <v>0</v>
      </c>
      <c r="V9" s="29">
        <v>3000</v>
      </c>
    </row>
    <row r="10" spans="1:22" x14ac:dyDescent="0.25">
      <c r="A10" s="20" t="s">
        <v>157</v>
      </c>
      <c r="B10" s="27">
        <f t="shared" si="0"/>
        <v>-0.28000000000000003</v>
      </c>
      <c r="C10" s="109">
        <v>-17000</v>
      </c>
      <c r="D10" s="1">
        <v>-15000</v>
      </c>
      <c r="E10" s="91">
        <v>18000</v>
      </c>
      <c r="F10" s="1">
        <v>25000</v>
      </c>
      <c r="G10" s="1">
        <v>50000</v>
      </c>
      <c r="H10" s="1">
        <v>45000</v>
      </c>
      <c r="I10" s="1">
        <v>7000</v>
      </c>
      <c r="J10" s="1">
        <v>65000</v>
      </c>
      <c r="K10" s="70">
        <v>30000</v>
      </c>
      <c r="L10" s="70">
        <v>65000</v>
      </c>
      <c r="M10" s="70">
        <v>65000</v>
      </c>
      <c r="N10" s="70">
        <v>60000</v>
      </c>
      <c r="O10" s="70">
        <v>60000</v>
      </c>
      <c r="P10" s="70">
        <v>60000</v>
      </c>
      <c r="Q10" s="70">
        <v>60000</v>
      </c>
      <c r="R10" s="70">
        <v>0</v>
      </c>
      <c r="S10" s="70">
        <v>0</v>
      </c>
      <c r="T10" s="70">
        <v>1000</v>
      </c>
      <c r="U10" s="1">
        <v>0</v>
      </c>
      <c r="V10" s="29">
        <v>0</v>
      </c>
    </row>
    <row r="11" spans="1:22" x14ac:dyDescent="0.25">
      <c r="A11" s="63" t="s">
        <v>34</v>
      </c>
      <c r="B11" s="27" t="str">
        <f t="shared" si="0"/>
        <v/>
      </c>
      <c r="C11" s="109">
        <v>0</v>
      </c>
      <c r="D11" s="1">
        <v>0</v>
      </c>
      <c r="E11" s="91"/>
      <c r="F11" s="1"/>
      <c r="G11" s="1"/>
      <c r="H11" s="1"/>
      <c r="I11" s="1"/>
      <c r="J11" s="1"/>
      <c r="K11" s="70"/>
      <c r="L11" s="70"/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5000</v>
      </c>
      <c r="S11" s="70">
        <v>26000</v>
      </c>
      <c r="T11" s="70">
        <v>10000</v>
      </c>
      <c r="U11" s="1">
        <v>4000</v>
      </c>
      <c r="V11" s="29">
        <v>5000</v>
      </c>
    </row>
    <row r="12" spans="1:22" x14ac:dyDescent="0.25">
      <c r="A12" s="63" t="s">
        <v>13</v>
      </c>
      <c r="B12" s="27">
        <f t="shared" si="0"/>
        <v>0.1111111111111111</v>
      </c>
      <c r="C12" s="109">
        <v>-10000</v>
      </c>
      <c r="D12" s="1">
        <v>-7000</v>
      </c>
      <c r="E12" s="91">
        <v>20000</v>
      </c>
      <c r="F12" s="1">
        <v>18000</v>
      </c>
      <c r="G12" s="1">
        <v>11000</v>
      </c>
      <c r="H12" s="1">
        <v>7000</v>
      </c>
      <c r="I12" s="1">
        <v>2000</v>
      </c>
      <c r="J12" s="1">
        <v>5000</v>
      </c>
      <c r="K12" s="70"/>
      <c r="L12" s="70"/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1">
        <v>0</v>
      </c>
      <c r="V12" s="29">
        <v>0</v>
      </c>
    </row>
    <row r="13" spans="1:22" x14ac:dyDescent="0.25">
      <c r="A13" s="63" t="s">
        <v>19</v>
      </c>
      <c r="B13" s="27">
        <f t="shared" si="0"/>
        <v>-0.5</v>
      </c>
      <c r="C13" s="109">
        <v>-15000</v>
      </c>
      <c r="D13" s="1">
        <v>-15000</v>
      </c>
      <c r="E13" s="91">
        <v>10000</v>
      </c>
      <c r="F13" s="1">
        <v>20000</v>
      </c>
      <c r="G13" s="1">
        <v>6000</v>
      </c>
      <c r="H13" s="1">
        <v>5000</v>
      </c>
      <c r="I13" s="1">
        <v>0</v>
      </c>
      <c r="J13" s="1"/>
      <c r="K13" s="70"/>
      <c r="L13" s="70"/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3000</v>
      </c>
      <c r="T13" s="70">
        <v>3000</v>
      </c>
      <c r="U13" s="1">
        <v>1000</v>
      </c>
      <c r="V13" s="29">
        <v>1000</v>
      </c>
    </row>
    <row r="14" spans="1:22" x14ac:dyDescent="0.25">
      <c r="A14" s="63" t="s">
        <v>133</v>
      </c>
      <c r="B14" s="27">
        <f t="shared" si="0"/>
        <v>-0.35714285714285715</v>
      </c>
      <c r="C14" s="109">
        <v>-35000</v>
      </c>
      <c r="D14" s="1">
        <v>-35000</v>
      </c>
      <c r="E14" s="91">
        <v>90000</v>
      </c>
      <c r="F14" s="1">
        <v>140000</v>
      </c>
      <c r="G14" s="1">
        <v>95000</v>
      </c>
      <c r="H14" s="1">
        <v>60000</v>
      </c>
      <c r="I14" s="1">
        <v>40000</v>
      </c>
      <c r="J14" s="1">
        <v>20000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1"/>
      <c r="V14" s="29"/>
    </row>
    <row r="15" spans="1:22" x14ac:dyDescent="0.25">
      <c r="A15" s="63" t="s">
        <v>89</v>
      </c>
      <c r="B15" s="27">
        <f t="shared" si="0"/>
        <v>-0.125</v>
      </c>
      <c r="C15" s="109">
        <v>-15000</v>
      </c>
      <c r="D15" s="1">
        <v>-20000</v>
      </c>
      <c r="E15" s="91">
        <v>35000</v>
      </c>
      <c r="F15" s="1">
        <v>40000</v>
      </c>
      <c r="G15" s="1">
        <v>65000</v>
      </c>
      <c r="H15" s="1">
        <v>50000</v>
      </c>
      <c r="I15" s="1">
        <v>40000</v>
      </c>
      <c r="J15" s="1">
        <v>125000</v>
      </c>
      <c r="K15" s="70">
        <v>35000</v>
      </c>
      <c r="L15" s="70">
        <v>70000</v>
      </c>
      <c r="M15" s="70">
        <v>70000</v>
      </c>
      <c r="N15" s="70">
        <v>65000</v>
      </c>
      <c r="O15" s="70">
        <v>70000</v>
      </c>
      <c r="P15" s="70">
        <v>50000</v>
      </c>
      <c r="Q15" s="70">
        <v>50000</v>
      </c>
      <c r="R15" s="70">
        <v>20000</v>
      </c>
      <c r="S15" s="70">
        <v>20000</v>
      </c>
      <c r="T15" s="70">
        <v>20000</v>
      </c>
      <c r="U15" s="1">
        <v>5000</v>
      </c>
      <c r="V15" s="29">
        <v>10000</v>
      </c>
    </row>
    <row r="16" spans="1:22" x14ac:dyDescent="0.25">
      <c r="A16" s="63" t="s">
        <v>35</v>
      </c>
      <c r="B16" s="27" t="str">
        <f t="shared" si="0"/>
        <v/>
      </c>
      <c r="C16" s="109">
        <v>0</v>
      </c>
      <c r="D16" s="1">
        <v>0</v>
      </c>
      <c r="E16" s="91"/>
      <c r="F16" s="1"/>
      <c r="G16" s="1"/>
      <c r="H16" s="1"/>
      <c r="I16" s="1"/>
      <c r="J16" s="1"/>
      <c r="K16" s="70"/>
      <c r="L16" s="70"/>
      <c r="M16" s="70">
        <v>0</v>
      </c>
      <c r="N16" s="70">
        <v>0</v>
      </c>
      <c r="O16" s="70"/>
      <c r="P16" s="70"/>
      <c r="Q16" s="70">
        <v>0</v>
      </c>
      <c r="R16" s="70">
        <v>0</v>
      </c>
      <c r="S16" s="70">
        <v>0</v>
      </c>
      <c r="T16" s="70">
        <v>1000</v>
      </c>
      <c r="U16" s="1">
        <v>0</v>
      </c>
      <c r="V16" s="29">
        <v>0</v>
      </c>
    </row>
    <row r="17" spans="1:23" ht="13.8" thickBot="1" x14ac:dyDescent="0.3">
      <c r="A17" s="21" t="s">
        <v>59</v>
      </c>
      <c r="B17" s="27">
        <f t="shared" si="0"/>
        <v>0</v>
      </c>
      <c r="C17" s="109">
        <v>-20000</v>
      </c>
      <c r="D17" s="1">
        <v>-20000</v>
      </c>
      <c r="E17" s="91">
        <v>30000</v>
      </c>
      <c r="F17" s="1">
        <v>30000</v>
      </c>
      <c r="G17" s="1">
        <v>25000</v>
      </c>
      <c r="H17" s="1">
        <v>110000</v>
      </c>
      <c r="I17" s="1">
        <v>35000</v>
      </c>
      <c r="J17" s="1">
        <v>100000</v>
      </c>
      <c r="K17" s="70">
        <v>4000</v>
      </c>
      <c r="L17" s="70">
        <v>75000</v>
      </c>
      <c r="M17" s="70">
        <v>85000</v>
      </c>
      <c r="N17" s="70">
        <v>60000</v>
      </c>
      <c r="O17" s="70">
        <v>30000</v>
      </c>
      <c r="P17" s="70">
        <v>10000</v>
      </c>
      <c r="Q17" s="70">
        <v>20000</v>
      </c>
      <c r="R17" s="70">
        <v>10000</v>
      </c>
      <c r="S17" s="70">
        <v>10000</v>
      </c>
      <c r="T17" s="70">
        <v>5000</v>
      </c>
      <c r="U17" s="1">
        <v>15000</v>
      </c>
      <c r="V17" s="29">
        <v>6000</v>
      </c>
    </row>
    <row r="18" spans="1:23" s="8" customFormat="1" ht="13.8" thickBot="1" x14ac:dyDescent="0.3">
      <c r="A18" s="23" t="s">
        <v>23</v>
      </c>
      <c r="B18" s="122">
        <f t="shared" si="0"/>
        <v>-0.10301953818827708</v>
      </c>
      <c r="C18" s="115">
        <v>-201000</v>
      </c>
      <c r="D18" s="43">
        <v>-202000</v>
      </c>
      <c r="E18" s="124">
        <f t="shared" ref="E18:K18" si="1">SUM(E2:E17)</f>
        <v>505000</v>
      </c>
      <c r="F18" s="43">
        <f t="shared" si="1"/>
        <v>563000</v>
      </c>
      <c r="G18" s="43">
        <f t="shared" si="1"/>
        <v>617000</v>
      </c>
      <c r="H18" s="43">
        <f t="shared" si="1"/>
        <v>592000</v>
      </c>
      <c r="I18" s="43">
        <f t="shared" si="1"/>
        <v>329000</v>
      </c>
      <c r="J18" s="43">
        <f t="shared" si="1"/>
        <v>665000</v>
      </c>
      <c r="K18" s="43">
        <f t="shared" si="1"/>
        <v>286000</v>
      </c>
      <c r="L18" s="43">
        <v>580000</v>
      </c>
      <c r="M18" s="43">
        <v>595000</v>
      </c>
      <c r="N18" s="43">
        <f>SUM(N2:N17)</f>
        <v>502000</v>
      </c>
      <c r="O18" s="43">
        <f>SUM(O2:O17)</f>
        <v>495000</v>
      </c>
      <c r="P18" s="43">
        <f>SUM(P2:P17)</f>
        <v>400000</v>
      </c>
      <c r="Q18" s="43">
        <f t="shared" ref="Q18:V18" si="2">SUM(Q2:Q17)</f>
        <v>385000</v>
      </c>
      <c r="R18" s="43">
        <f t="shared" si="2"/>
        <v>130000</v>
      </c>
      <c r="S18" s="43">
        <f t="shared" si="2"/>
        <v>250000</v>
      </c>
      <c r="T18" s="43">
        <f t="shared" si="2"/>
        <v>165000</v>
      </c>
      <c r="U18" s="43">
        <f t="shared" si="2"/>
        <v>80000</v>
      </c>
      <c r="V18" s="79">
        <f t="shared" si="2"/>
        <v>110000</v>
      </c>
    </row>
    <row r="19" spans="1:23" x14ac:dyDescent="0.25">
      <c r="B19" s="36" t="str">
        <f t="shared" si="0"/>
        <v/>
      </c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23" ht="13.8" thickBot="1" x14ac:dyDescent="0.3">
      <c r="B20" s="36" t="str">
        <f t="shared" si="0"/>
        <v/>
      </c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23" ht="13.8" thickBot="1" x14ac:dyDescent="0.3">
      <c r="A21" s="23" t="s">
        <v>25</v>
      </c>
      <c r="B21" s="24" t="s">
        <v>182</v>
      </c>
      <c r="C21" s="125" t="s">
        <v>183</v>
      </c>
      <c r="D21" s="69" t="s">
        <v>178</v>
      </c>
      <c r="E21" s="127">
        <v>45383</v>
      </c>
      <c r="F21" s="101">
        <v>45017</v>
      </c>
      <c r="G21" s="101">
        <v>44652</v>
      </c>
      <c r="H21" s="101">
        <v>44287</v>
      </c>
      <c r="I21" s="101">
        <v>43922</v>
      </c>
      <c r="J21" s="101">
        <v>43556</v>
      </c>
      <c r="K21" s="25">
        <v>42826</v>
      </c>
      <c r="L21" s="25">
        <v>42826</v>
      </c>
      <c r="M21" s="25">
        <v>42461</v>
      </c>
      <c r="N21" s="25">
        <v>42095</v>
      </c>
      <c r="O21" s="25">
        <v>41730</v>
      </c>
      <c r="P21" s="25">
        <v>41365</v>
      </c>
      <c r="Q21" s="25">
        <v>41000</v>
      </c>
      <c r="R21" s="25">
        <v>40634</v>
      </c>
      <c r="S21" s="25">
        <v>40269</v>
      </c>
      <c r="T21" s="25">
        <v>39904</v>
      </c>
      <c r="U21" s="25">
        <v>39539</v>
      </c>
      <c r="V21" s="26">
        <v>39173</v>
      </c>
    </row>
    <row r="22" spans="1:23" x14ac:dyDescent="0.25">
      <c r="A22" s="20" t="s">
        <v>7</v>
      </c>
      <c r="B22" s="27">
        <f t="shared" ref="B22:B31" si="3">IFERROR(((E22-F22)/F22),"")</f>
        <v>2.5</v>
      </c>
      <c r="C22" s="109">
        <v>-5500</v>
      </c>
      <c r="D22" s="1">
        <v>-4000</v>
      </c>
      <c r="E22" s="91">
        <v>3500</v>
      </c>
      <c r="F22" s="1">
        <v>1000</v>
      </c>
      <c r="G22" s="1">
        <v>1000</v>
      </c>
      <c r="H22" s="1">
        <v>1000</v>
      </c>
      <c r="I22" s="1">
        <v>0</v>
      </c>
      <c r="J22" s="1">
        <v>0</v>
      </c>
      <c r="K22" s="1">
        <v>0</v>
      </c>
      <c r="L22" s="1">
        <v>0</v>
      </c>
      <c r="M22" s="1">
        <v>1000</v>
      </c>
      <c r="N22" s="1">
        <v>0</v>
      </c>
      <c r="O22" s="1">
        <v>2000</v>
      </c>
      <c r="P22" s="1">
        <v>0</v>
      </c>
      <c r="Q22" s="1">
        <v>0</v>
      </c>
      <c r="R22" s="1">
        <v>0</v>
      </c>
      <c r="S22" s="1">
        <v>4000</v>
      </c>
      <c r="T22" s="1">
        <v>1000</v>
      </c>
      <c r="U22" s="1">
        <v>0</v>
      </c>
      <c r="V22" s="29">
        <v>1500</v>
      </c>
    </row>
    <row r="23" spans="1:23" x14ac:dyDescent="0.25">
      <c r="A23" s="39" t="s">
        <v>93</v>
      </c>
      <c r="B23" s="27" t="str">
        <f t="shared" si="3"/>
        <v/>
      </c>
      <c r="C23" s="109">
        <v>0</v>
      </c>
      <c r="D23" s="1">
        <v>0</v>
      </c>
      <c r="E23" s="91"/>
      <c r="F23" s="1"/>
      <c r="G23" s="1"/>
      <c r="H23" s="1"/>
      <c r="I23" s="1">
        <v>0</v>
      </c>
      <c r="J23" s="1">
        <v>0</v>
      </c>
      <c r="K23" s="1">
        <v>0</v>
      </c>
      <c r="L23" s="1">
        <v>0</v>
      </c>
      <c r="M23" s="1"/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29">
        <v>0</v>
      </c>
    </row>
    <row r="24" spans="1:23" ht="13.8" thickBot="1" x14ac:dyDescent="0.3">
      <c r="A24" s="20" t="s">
        <v>59</v>
      </c>
      <c r="B24" s="27" t="str">
        <f t="shared" si="3"/>
        <v/>
      </c>
      <c r="C24" s="109">
        <v>-1000</v>
      </c>
      <c r="D24" s="1">
        <v>-1000</v>
      </c>
      <c r="E24" s="91">
        <v>500</v>
      </c>
      <c r="F24" s="1"/>
      <c r="G24" s="1"/>
      <c r="H24" s="1"/>
      <c r="I24" s="1">
        <v>0</v>
      </c>
      <c r="J24" s="1">
        <v>0</v>
      </c>
      <c r="K24" s="1">
        <v>0</v>
      </c>
      <c r="L24" s="1">
        <v>0</v>
      </c>
      <c r="M24" s="1"/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29">
        <v>500</v>
      </c>
    </row>
    <row r="25" spans="1:23" ht="13.8" thickBot="1" x14ac:dyDescent="0.3">
      <c r="A25" s="23" t="s">
        <v>23</v>
      </c>
      <c r="B25" s="95">
        <f t="shared" si="3"/>
        <v>3</v>
      </c>
      <c r="C25" s="115">
        <v>-6500</v>
      </c>
      <c r="D25" s="43">
        <v>-5000</v>
      </c>
      <c r="E25" s="124">
        <f>SUM(E22:E24)</f>
        <v>4000</v>
      </c>
      <c r="F25" s="43">
        <v>1000</v>
      </c>
      <c r="G25" s="43">
        <v>1000</v>
      </c>
      <c r="H25" s="43">
        <v>1000</v>
      </c>
      <c r="I25" s="43">
        <f>SUM(I22:I24)</f>
        <v>0</v>
      </c>
      <c r="J25" s="43">
        <v>0</v>
      </c>
      <c r="K25" s="43">
        <f>SUM(K22:K24)</f>
        <v>0</v>
      </c>
      <c r="L25" s="43">
        <f>SUM(L22:L24)</f>
        <v>0</v>
      </c>
      <c r="M25" s="43">
        <v>1000</v>
      </c>
      <c r="N25" s="43">
        <f>SUM(N22:N24)</f>
        <v>0</v>
      </c>
      <c r="O25" s="43">
        <f>SUM(O22:O24)</f>
        <v>2000</v>
      </c>
      <c r="P25" s="43">
        <f>SUM(P22:P24)</f>
        <v>0</v>
      </c>
      <c r="Q25" s="43">
        <f t="shared" ref="Q25:V25" si="4">SUM(Q22:Q24)</f>
        <v>0</v>
      </c>
      <c r="R25" s="43">
        <f t="shared" si="4"/>
        <v>0</v>
      </c>
      <c r="S25" s="43">
        <f t="shared" si="4"/>
        <v>4000</v>
      </c>
      <c r="T25" s="43">
        <f t="shared" si="4"/>
        <v>1000</v>
      </c>
      <c r="U25" s="43">
        <f t="shared" si="4"/>
        <v>0</v>
      </c>
      <c r="V25" s="79">
        <f t="shared" si="4"/>
        <v>2000</v>
      </c>
    </row>
    <row r="26" spans="1:23" x14ac:dyDescent="0.25">
      <c r="B26" t="str">
        <f t="shared" si="3"/>
        <v/>
      </c>
    </row>
    <row r="27" spans="1:23" ht="15.6" x14ac:dyDescent="0.3">
      <c r="A27" s="114" t="s">
        <v>168</v>
      </c>
      <c r="B27" t="str">
        <f t="shared" si="3"/>
        <v/>
      </c>
    </row>
    <row r="28" spans="1:23" ht="15.6" x14ac:dyDescent="0.3">
      <c r="A28" s="114" t="s">
        <v>169</v>
      </c>
      <c r="B28" t="str">
        <f t="shared" si="3"/>
        <v/>
      </c>
    </row>
    <row r="29" spans="1:23" x14ac:dyDescent="0.25">
      <c r="B29" t="str">
        <f t="shared" si="3"/>
        <v/>
      </c>
    </row>
    <row r="30" spans="1:23" x14ac:dyDescent="0.25">
      <c r="B30" t="str">
        <f t="shared" si="3"/>
        <v/>
      </c>
    </row>
    <row r="31" spans="1:23" x14ac:dyDescent="0.25">
      <c r="B31" t="str">
        <f t="shared" si="3"/>
        <v/>
      </c>
    </row>
    <row r="32" spans="1:23" ht="17.399999999999999" x14ac:dyDescent="0.3">
      <c r="U32" s="5"/>
      <c r="V32" s="1"/>
      <c r="W32" s="1"/>
    </row>
    <row r="33" spans="21:23" ht="17.399999999999999" x14ac:dyDescent="0.3">
      <c r="U33" s="5"/>
      <c r="V33" s="1"/>
      <c r="W33" s="1"/>
    </row>
    <row r="34" spans="21:23" ht="17.399999999999999" x14ac:dyDescent="0.3">
      <c r="U34" s="5"/>
      <c r="V34" s="1"/>
      <c r="W34" s="1"/>
    </row>
    <row r="35" spans="21:23" ht="17.399999999999999" x14ac:dyDescent="0.3">
      <c r="U35" s="5"/>
      <c r="V35" s="1"/>
      <c r="W35" s="1"/>
    </row>
    <row r="36" spans="21:23" ht="17.399999999999999" x14ac:dyDescent="0.3">
      <c r="U36" s="5"/>
      <c r="V36" s="1"/>
      <c r="W36" s="1"/>
    </row>
    <row r="37" spans="21:23" ht="17.399999999999999" x14ac:dyDescent="0.3">
      <c r="U37" s="5"/>
      <c r="V37" s="1"/>
      <c r="W37" s="1"/>
    </row>
    <row r="38" spans="21:23" ht="17.399999999999999" x14ac:dyDescent="0.3">
      <c r="U38" s="5"/>
      <c r="V38" s="1"/>
      <c r="W38" s="1"/>
    </row>
    <row r="39" spans="21:23" ht="17.399999999999999" x14ac:dyDescent="0.3">
      <c r="U39" s="5"/>
      <c r="V39" s="1"/>
      <c r="W39" s="1"/>
    </row>
    <row r="40" spans="21:23" ht="17.399999999999999" x14ac:dyDescent="0.3">
      <c r="U40" s="5"/>
      <c r="V40" s="1"/>
      <c r="W40" s="1"/>
    </row>
    <row r="41" spans="21:23" ht="17.399999999999999" x14ac:dyDescent="0.3">
      <c r="U41" s="5"/>
      <c r="V41" s="1"/>
      <c r="W41" s="1"/>
    </row>
    <row r="42" spans="21:23" ht="17.399999999999999" x14ac:dyDescent="0.3">
      <c r="U42" s="6"/>
      <c r="V42" s="1"/>
      <c r="W42" s="1"/>
    </row>
    <row r="43" spans="21:23" ht="18" x14ac:dyDescent="0.35">
      <c r="U43" s="7"/>
      <c r="V43" s="2"/>
      <c r="W43" s="2"/>
    </row>
  </sheetData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42"/>
  <sheetViews>
    <sheetView zoomScaleNormal="60" workbookViewId="0"/>
  </sheetViews>
  <sheetFormatPr defaultColWidth="8.77734375" defaultRowHeight="13.2" x14ac:dyDescent="0.25"/>
  <cols>
    <col min="1" max="1" width="24.33203125" customWidth="1"/>
    <col min="2" max="2" width="11" bestFit="1" customWidth="1"/>
    <col min="3" max="3" width="11" customWidth="1"/>
    <col min="4" max="4" width="11.6640625" bestFit="1" customWidth="1"/>
    <col min="5" max="10" width="11.6640625" customWidth="1"/>
    <col min="11" max="11" width="11.6640625" bestFit="1" customWidth="1"/>
    <col min="12" max="12" width="10.109375" customWidth="1"/>
    <col min="13" max="20" width="10.77734375" customWidth="1"/>
  </cols>
  <sheetData>
    <row r="1" spans="1:20" ht="13.8" thickBot="1" x14ac:dyDescent="0.3">
      <c r="A1" s="38" t="s">
        <v>91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5">
        <v>40269</v>
      </c>
      <c r="T1" s="26">
        <v>39904</v>
      </c>
    </row>
    <row r="2" spans="1:20" x14ac:dyDescent="0.25">
      <c r="A2" s="39" t="s">
        <v>9</v>
      </c>
      <c r="B2" s="118" t="str">
        <f t="shared" ref="B2:B11" si="0">IFERROR(((E2-F2)/F2),"")</f>
        <v/>
      </c>
      <c r="C2" s="96"/>
      <c r="D2" s="102"/>
      <c r="E2" s="106"/>
      <c r="F2" s="102"/>
      <c r="G2" s="102"/>
      <c r="H2" s="102"/>
      <c r="I2" s="102"/>
      <c r="J2" s="102"/>
      <c r="K2" s="37"/>
      <c r="L2" s="37"/>
      <c r="M2" s="37"/>
      <c r="N2" s="37"/>
      <c r="O2" s="37"/>
      <c r="P2" s="37"/>
      <c r="Q2" s="37"/>
      <c r="R2" s="37"/>
      <c r="S2" s="37"/>
      <c r="T2" s="59"/>
    </row>
    <row r="3" spans="1:20" x14ac:dyDescent="0.25">
      <c r="A3" s="39" t="s">
        <v>149</v>
      </c>
      <c r="B3" s="118" t="str">
        <f t="shared" si="0"/>
        <v/>
      </c>
      <c r="C3" s="96"/>
      <c r="D3" s="102"/>
      <c r="E3" s="106"/>
      <c r="F3" s="102"/>
      <c r="G3" s="102"/>
      <c r="H3" s="102"/>
      <c r="I3" s="102"/>
      <c r="J3" s="102"/>
      <c r="K3" s="37"/>
      <c r="L3" s="37"/>
      <c r="M3" s="37"/>
      <c r="N3" s="37"/>
      <c r="O3" s="37"/>
      <c r="P3" s="37"/>
      <c r="Q3" s="37"/>
      <c r="R3" s="37"/>
      <c r="S3" s="37"/>
      <c r="T3" s="59"/>
    </row>
    <row r="4" spans="1:20" x14ac:dyDescent="0.25">
      <c r="A4" s="39" t="s">
        <v>27</v>
      </c>
      <c r="B4" s="118" t="str">
        <f t="shared" si="0"/>
        <v/>
      </c>
      <c r="C4" s="96"/>
      <c r="D4" s="102"/>
      <c r="E4" s="106"/>
      <c r="F4" s="102"/>
      <c r="G4" s="102"/>
      <c r="H4" s="102"/>
      <c r="I4" s="102"/>
      <c r="J4" s="102"/>
      <c r="K4" s="37"/>
      <c r="L4" s="37"/>
      <c r="M4" s="37"/>
      <c r="N4" s="37"/>
      <c r="O4" s="37"/>
      <c r="P4" s="37"/>
      <c r="Q4" s="37"/>
      <c r="R4" s="37"/>
      <c r="S4" s="37"/>
      <c r="T4" s="59"/>
    </row>
    <row r="5" spans="1:20" x14ac:dyDescent="0.25">
      <c r="A5" s="39" t="s">
        <v>26</v>
      </c>
      <c r="B5" s="118" t="str">
        <f t="shared" si="0"/>
        <v/>
      </c>
      <c r="C5" s="96"/>
      <c r="D5" s="102"/>
      <c r="E5" s="106"/>
      <c r="F5" s="102"/>
      <c r="G5" s="102"/>
      <c r="H5" s="102"/>
      <c r="I5" s="102"/>
      <c r="J5" s="102"/>
      <c r="K5" s="37"/>
      <c r="L5" s="37"/>
      <c r="M5" s="37"/>
      <c r="N5" s="37"/>
      <c r="O5" s="37"/>
      <c r="P5" s="37"/>
      <c r="Q5" s="37"/>
      <c r="R5" s="37"/>
      <c r="S5" s="37"/>
      <c r="T5" s="59"/>
    </row>
    <row r="6" spans="1:20" x14ac:dyDescent="0.25">
      <c r="A6" s="39" t="s">
        <v>19</v>
      </c>
      <c r="B6" s="118" t="str">
        <f t="shared" si="0"/>
        <v/>
      </c>
      <c r="C6" s="96"/>
      <c r="D6" s="102"/>
      <c r="E6" s="106"/>
      <c r="F6" s="102"/>
      <c r="G6" s="102"/>
      <c r="H6" s="102"/>
      <c r="I6" s="102"/>
      <c r="J6" s="102"/>
      <c r="K6" s="37"/>
      <c r="L6" s="37"/>
      <c r="M6" s="37"/>
      <c r="N6" s="37"/>
      <c r="O6" s="37"/>
      <c r="P6" s="37"/>
      <c r="Q6" s="37"/>
      <c r="R6" s="37"/>
      <c r="S6" s="37"/>
      <c r="T6" s="59"/>
    </row>
    <row r="7" spans="1:20" x14ac:dyDescent="0.25">
      <c r="A7" s="39" t="s">
        <v>88</v>
      </c>
      <c r="B7" s="118" t="str">
        <f t="shared" si="0"/>
        <v/>
      </c>
      <c r="C7" s="96"/>
      <c r="D7" s="102"/>
      <c r="E7" s="106"/>
      <c r="F7" s="102"/>
      <c r="G7" s="102"/>
      <c r="H7" s="102"/>
      <c r="I7" s="102"/>
      <c r="J7" s="102"/>
      <c r="K7" s="37"/>
      <c r="L7" s="37"/>
      <c r="M7" s="37"/>
      <c r="N7" s="37"/>
      <c r="O7" s="37"/>
      <c r="P7" s="37"/>
      <c r="Q7" s="37"/>
      <c r="R7" s="37"/>
      <c r="S7" s="37"/>
      <c r="T7" s="59"/>
    </row>
    <row r="8" spans="1:20" ht="13.8" thickBot="1" x14ac:dyDescent="0.3">
      <c r="A8" s="39" t="s">
        <v>6</v>
      </c>
      <c r="B8" s="118" t="str">
        <f t="shared" si="0"/>
        <v/>
      </c>
      <c r="C8" s="96"/>
      <c r="D8" s="102"/>
      <c r="E8" s="106"/>
      <c r="F8" s="102"/>
      <c r="G8" s="102"/>
      <c r="H8" s="102"/>
      <c r="I8" s="102"/>
      <c r="J8" s="102"/>
      <c r="K8" s="37"/>
      <c r="L8" s="37"/>
      <c r="M8" s="37"/>
      <c r="N8" s="37"/>
      <c r="O8" s="37"/>
      <c r="P8" s="37"/>
      <c r="Q8" s="37"/>
      <c r="R8" s="37"/>
      <c r="S8" s="37"/>
      <c r="T8" s="59"/>
    </row>
    <row r="9" spans="1:20" ht="13.8" thickBot="1" x14ac:dyDescent="0.3">
      <c r="A9" s="38" t="s">
        <v>92</v>
      </c>
      <c r="B9" s="119" t="str">
        <f t="shared" si="0"/>
        <v/>
      </c>
      <c r="C9" s="120"/>
      <c r="D9" s="103"/>
      <c r="E9" s="107"/>
      <c r="F9" s="103"/>
      <c r="G9" s="103"/>
      <c r="H9" s="103"/>
      <c r="I9" s="103"/>
      <c r="J9" s="103"/>
      <c r="K9" s="43"/>
      <c r="L9" s="43"/>
      <c r="M9" s="43"/>
      <c r="N9" s="43"/>
      <c r="O9" s="43"/>
      <c r="P9" s="43"/>
      <c r="Q9" s="43"/>
      <c r="R9" s="43"/>
      <c r="S9" s="43"/>
      <c r="T9" s="79"/>
    </row>
    <row r="10" spans="1:20" x14ac:dyDescent="0.25">
      <c r="B10" t="str">
        <f t="shared" si="0"/>
        <v/>
      </c>
    </row>
    <row r="11" spans="1:20" ht="13.8" thickBot="1" x14ac:dyDescent="0.3">
      <c r="B11" s="3" t="str">
        <f t="shared" si="0"/>
        <v/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3.8" thickBot="1" x14ac:dyDescent="0.3">
      <c r="A12" s="47" t="s">
        <v>91</v>
      </c>
      <c r="B12" s="24" t="s">
        <v>182</v>
      </c>
      <c r="C12" s="125" t="s">
        <v>183</v>
      </c>
      <c r="D12" s="69" t="s">
        <v>178</v>
      </c>
      <c r="E12" s="127">
        <v>45383</v>
      </c>
      <c r="F12" s="101">
        <v>45017</v>
      </c>
      <c r="G12" s="101">
        <v>44652</v>
      </c>
      <c r="H12" s="101">
        <v>44287</v>
      </c>
      <c r="I12" s="101">
        <v>43922</v>
      </c>
      <c r="J12" s="101">
        <v>43556</v>
      </c>
      <c r="K12" s="101">
        <v>43191</v>
      </c>
      <c r="L12" s="25">
        <v>42826</v>
      </c>
      <c r="M12" s="88">
        <v>42461</v>
      </c>
      <c r="N12" s="88">
        <v>42095</v>
      </c>
      <c r="O12" s="88">
        <v>41730</v>
      </c>
      <c r="P12" s="88">
        <v>41365</v>
      </c>
      <c r="Q12" s="88">
        <v>41000</v>
      </c>
      <c r="R12" s="88">
        <v>40634</v>
      </c>
      <c r="S12" s="88">
        <v>40269</v>
      </c>
      <c r="T12" s="89">
        <v>39904</v>
      </c>
    </row>
    <row r="13" spans="1:20" ht="13.8" thickBot="1" x14ac:dyDescent="0.3">
      <c r="A13" s="48" t="s">
        <v>147</v>
      </c>
      <c r="B13" s="130" t="str">
        <f t="shared" ref="B13:B31" si="1">IFERROR(((E13-F13)/F13),"")</f>
        <v/>
      </c>
      <c r="C13" s="113"/>
      <c r="D13" s="104"/>
      <c r="E13" s="116"/>
      <c r="F13" s="104"/>
      <c r="G13" s="104"/>
      <c r="H13" s="104"/>
      <c r="I13" s="104"/>
      <c r="J13" s="121">
        <v>24870</v>
      </c>
      <c r="K13" s="50"/>
      <c r="L13" s="50"/>
      <c r="M13" s="50"/>
      <c r="N13" s="50"/>
      <c r="O13" s="50"/>
      <c r="P13" s="50"/>
      <c r="Q13" s="50"/>
      <c r="R13" s="50">
        <v>7940</v>
      </c>
      <c r="S13" s="50"/>
      <c r="T13" s="60"/>
    </row>
    <row r="14" spans="1:20" ht="13.8" thickBot="1" x14ac:dyDescent="0.3">
      <c r="A14" s="47" t="s">
        <v>92</v>
      </c>
      <c r="B14" s="78" t="str">
        <f t="shared" si="1"/>
        <v/>
      </c>
      <c r="C14" s="115"/>
      <c r="D14" s="105"/>
      <c r="E14" s="117"/>
      <c r="F14" s="105"/>
      <c r="G14" s="105"/>
      <c r="H14" s="105"/>
      <c r="I14" s="105"/>
      <c r="J14" s="43">
        <v>24870</v>
      </c>
      <c r="K14" s="74"/>
      <c r="L14" s="74"/>
      <c r="M14" s="74"/>
      <c r="N14" s="74"/>
      <c r="O14" s="74"/>
      <c r="P14" s="74"/>
      <c r="Q14" s="74"/>
      <c r="R14" s="74">
        <f>SUM(R13:R13)</f>
        <v>7940</v>
      </c>
      <c r="S14" s="74"/>
      <c r="T14" s="75"/>
    </row>
    <row r="15" spans="1:20" x14ac:dyDescent="0.25">
      <c r="A15" s="3" t="s">
        <v>163</v>
      </c>
      <c r="B15" t="str">
        <f t="shared" si="1"/>
        <v/>
      </c>
    </row>
    <row r="16" spans="1:20" x14ac:dyDescent="0.25">
      <c r="B16" t="str">
        <f t="shared" si="1"/>
        <v/>
      </c>
    </row>
    <row r="17" spans="1:2" x14ac:dyDescent="0.25">
      <c r="B17" t="str">
        <f t="shared" si="1"/>
        <v/>
      </c>
    </row>
    <row r="18" spans="1:2" x14ac:dyDescent="0.25">
      <c r="B18" t="str">
        <f t="shared" si="1"/>
        <v/>
      </c>
    </row>
    <row r="19" spans="1:2" x14ac:dyDescent="0.25">
      <c r="B19" t="str">
        <f t="shared" si="1"/>
        <v/>
      </c>
    </row>
    <row r="20" spans="1:2" x14ac:dyDescent="0.25">
      <c r="B20" t="str">
        <f t="shared" si="1"/>
        <v/>
      </c>
    </row>
    <row r="21" spans="1:2" x14ac:dyDescent="0.25">
      <c r="B21" t="str">
        <f t="shared" si="1"/>
        <v/>
      </c>
    </row>
    <row r="22" spans="1:2" x14ac:dyDescent="0.25">
      <c r="B22" t="str">
        <f t="shared" si="1"/>
        <v/>
      </c>
    </row>
    <row r="23" spans="1:2" x14ac:dyDescent="0.25">
      <c r="B23" t="str">
        <f t="shared" si="1"/>
        <v/>
      </c>
    </row>
    <row r="24" spans="1:2" x14ac:dyDescent="0.25">
      <c r="B24" t="str">
        <f t="shared" si="1"/>
        <v/>
      </c>
    </row>
    <row r="25" spans="1:2" x14ac:dyDescent="0.25">
      <c r="B25" t="str">
        <f t="shared" si="1"/>
        <v/>
      </c>
    </row>
    <row r="26" spans="1:2" x14ac:dyDescent="0.25">
      <c r="B26" t="str">
        <f t="shared" si="1"/>
        <v/>
      </c>
    </row>
    <row r="27" spans="1:2" x14ac:dyDescent="0.25">
      <c r="B27" t="str">
        <f t="shared" si="1"/>
        <v/>
      </c>
    </row>
    <row r="28" spans="1:2" x14ac:dyDescent="0.25">
      <c r="B28" t="str">
        <f t="shared" si="1"/>
        <v/>
      </c>
    </row>
    <row r="29" spans="1:2" x14ac:dyDescent="0.25">
      <c r="B29" t="str">
        <f t="shared" si="1"/>
        <v/>
      </c>
    </row>
    <row r="30" spans="1:2" x14ac:dyDescent="0.25">
      <c r="B30" t="str">
        <f t="shared" si="1"/>
        <v/>
      </c>
    </row>
    <row r="31" spans="1:2" x14ac:dyDescent="0.25">
      <c r="A31" s="1"/>
      <c r="B31" t="str">
        <f t="shared" si="1"/>
        <v/>
      </c>
    </row>
    <row r="32" spans="1:2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2"/>
    </row>
  </sheetData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35"/>
  <sheetViews>
    <sheetView zoomScaleNormal="77"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10" width="11.6640625" customWidth="1"/>
    <col min="11" max="11" width="11.77734375" customWidth="1"/>
    <col min="12" max="12" width="10.77734375" customWidth="1"/>
    <col min="13" max="22" width="10.109375" bestFit="1" customWidth="1"/>
  </cols>
  <sheetData>
    <row r="1" spans="1:26" ht="13.8" thickBot="1" x14ac:dyDescent="0.3">
      <c r="A1" s="23" t="s">
        <v>24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5">
        <v>40269</v>
      </c>
      <c r="T1" s="25">
        <v>39904</v>
      </c>
      <c r="U1" s="25">
        <v>39539</v>
      </c>
      <c r="V1" s="26">
        <v>39173</v>
      </c>
    </row>
    <row r="2" spans="1:26" x14ac:dyDescent="0.25">
      <c r="A2" s="20" t="s">
        <v>108</v>
      </c>
      <c r="B2" s="27">
        <f t="shared" ref="B2:B10" si="0">IFERROR(((E2-F2)/F2),"")</f>
        <v>-0.36089372116264234</v>
      </c>
      <c r="C2" s="109">
        <v>-2845.646626243104</v>
      </c>
      <c r="D2" s="1">
        <v>-3860.6970323428477</v>
      </c>
      <c r="E2" s="91">
        <v>4469.2185393595446</v>
      </c>
      <c r="F2" s="1">
        <v>6992.9191549953293</v>
      </c>
      <c r="G2" s="1">
        <v>11428.674162508429</v>
      </c>
      <c r="H2" s="1">
        <v>9280.882044707083</v>
      </c>
      <c r="I2" s="1">
        <v>12623.504919886429</v>
      </c>
      <c r="J2" s="1">
        <v>13685</v>
      </c>
      <c r="K2" s="1">
        <v>8049</v>
      </c>
      <c r="L2" s="1">
        <v>12353.476822938994</v>
      </c>
      <c r="M2" s="1">
        <v>9159.9221072480686</v>
      </c>
      <c r="N2" s="1">
        <v>6593.4494254420752</v>
      </c>
      <c r="O2" s="1">
        <v>9089.708825431735</v>
      </c>
      <c r="P2" s="1">
        <v>2973.3180716023885</v>
      </c>
      <c r="Q2" s="1">
        <v>4926.9641789036459</v>
      </c>
      <c r="R2" s="1">
        <v>4965</v>
      </c>
      <c r="S2" s="1">
        <v>3662.8560263741479</v>
      </c>
      <c r="T2" s="1">
        <v>5371.9196389458839</v>
      </c>
      <c r="U2" s="1">
        <v>5907</v>
      </c>
      <c r="V2" s="29">
        <v>1714</v>
      </c>
    </row>
    <row r="3" spans="1:26" x14ac:dyDescent="0.25">
      <c r="A3" s="20" t="s">
        <v>109</v>
      </c>
      <c r="B3" s="27">
        <f t="shared" si="0"/>
        <v>7.5682621269492323</v>
      </c>
      <c r="C3" s="109">
        <v>-1574.2290294246227</v>
      </c>
      <c r="D3" s="1">
        <v>-1962.6475699302118</v>
      </c>
      <c r="E3" s="91">
        <v>320.98604285607814</v>
      </c>
      <c r="F3" s="1">
        <v>37.462210901146491</v>
      </c>
      <c r="G3" s="1">
        <v>720.6076307336491</v>
      </c>
      <c r="H3" s="1">
        <v>793.03503028123885</v>
      </c>
      <c r="I3" s="1">
        <v>527.07401825552222</v>
      </c>
      <c r="J3" s="1">
        <v>1886</v>
      </c>
      <c r="K3" s="1">
        <v>411</v>
      </c>
      <c r="L3" s="1">
        <v>1843.6643367313832</v>
      </c>
      <c r="M3" s="1">
        <v>168.6396309084158</v>
      </c>
      <c r="N3" s="1">
        <v>1874.4850692532573</v>
      </c>
      <c r="O3" s="1">
        <v>86.666772737025809</v>
      </c>
      <c r="P3" s="1">
        <v>0</v>
      </c>
      <c r="Q3" s="1">
        <v>39.728056577929252</v>
      </c>
      <c r="R3" s="1">
        <v>632</v>
      </c>
      <c r="S3" s="1">
        <v>461.90494654432018</v>
      </c>
      <c r="T3" s="1">
        <v>1071.934335712263</v>
      </c>
      <c r="U3" s="1">
        <v>1103</v>
      </c>
      <c r="V3" s="29">
        <v>251</v>
      </c>
    </row>
    <row r="4" spans="1:26" x14ac:dyDescent="0.25">
      <c r="A4" s="20" t="s">
        <v>110</v>
      </c>
      <c r="B4" s="27">
        <f t="shared" si="0"/>
        <v>0.51517098744137635</v>
      </c>
      <c r="C4" s="109">
        <v>-12529.418350639171</v>
      </c>
      <c r="D4" s="1">
        <v>-13537.747195201286</v>
      </c>
      <c r="E4" s="91">
        <v>74250.786982776131</v>
      </c>
      <c r="F4" s="1">
        <v>49004.889611938255</v>
      </c>
      <c r="G4" s="1">
        <v>87474.698108180164</v>
      </c>
      <c r="H4" s="1">
        <v>51263.475662377328</v>
      </c>
      <c r="I4" s="1">
        <v>97811.951022899419</v>
      </c>
      <c r="J4" s="1">
        <v>69063</v>
      </c>
      <c r="K4" s="1">
        <v>59446</v>
      </c>
      <c r="L4" s="1">
        <v>90766.98311930777</v>
      </c>
      <c r="M4" s="1">
        <v>59720.765304653556</v>
      </c>
      <c r="N4" s="1">
        <v>76319.571764948763</v>
      </c>
      <c r="O4" s="1">
        <v>68690.554970931975</v>
      </c>
      <c r="P4" s="1">
        <v>42646.577633529509</v>
      </c>
      <c r="Q4" s="1">
        <v>76693.33218499599</v>
      </c>
      <c r="R4" s="1">
        <v>70768</v>
      </c>
      <c r="S4" s="1">
        <v>58498.115556001947</v>
      </c>
      <c r="T4" s="1">
        <v>82998.669903147631</v>
      </c>
      <c r="U4" s="1">
        <v>60475</v>
      </c>
      <c r="V4" s="29">
        <v>53537</v>
      </c>
    </row>
    <row r="5" spans="1:26" x14ac:dyDescent="0.25">
      <c r="A5" s="20" t="s">
        <v>17</v>
      </c>
      <c r="B5" s="27">
        <f t="shared" si="0"/>
        <v>0.34531143135314896</v>
      </c>
      <c r="C5" s="109">
        <v>-2787.5504574385595</v>
      </c>
      <c r="D5" s="1">
        <v>-2388.024209103578</v>
      </c>
      <c r="E5" s="91">
        <v>11823.679781301893</v>
      </c>
      <c r="F5" s="1">
        <v>8788.8049605059332</v>
      </c>
      <c r="G5" s="1">
        <v>15786.298995697533</v>
      </c>
      <c r="H5" s="1">
        <v>10382.906314375665</v>
      </c>
      <c r="I5" s="1">
        <v>12736.358676906897</v>
      </c>
      <c r="J5" s="1">
        <v>11527</v>
      </c>
      <c r="K5" s="1">
        <v>8934</v>
      </c>
      <c r="L5" s="1">
        <v>8954.282822777006</v>
      </c>
      <c r="M5" s="1">
        <v>8960.2115139537818</v>
      </c>
      <c r="N5" s="1">
        <v>6313.4166131976026</v>
      </c>
      <c r="O5" s="1">
        <v>5480.9893248809549</v>
      </c>
      <c r="P5" s="1">
        <v>3725.9975304055411</v>
      </c>
      <c r="Q5" s="1">
        <v>4575.6489829261354</v>
      </c>
      <c r="R5" s="1">
        <v>1087</v>
      </c>
      <c r="S5" s="1">
        <v>4224.7489778415165</v>
      </c>
      <c r="T5" s="1">
        <v>3163.5823414180882</v>
      </c>
      <c r="U5" s="1">
        <v>1418</v>
      </c>
      <c r="V5" s="29">
        <v>569</v>
      </c>
      <c r="Y5" s="1"/>
      <c r="Z5" s="1"/>
    </row>
    <row r="6" spans="1:26" x14ac:dyDescent="0.25">
      <c r="A6" s="20" t="s">
        <v>19</v>
      </c>
      <c r="B6" s="27">
        <f t="shared" si="0"/>
        <v>-4.1024265840156622E-2</v>
      </c>
      <c r="C6" s="109">
        <v>-1718.5097291798593</v>
      </c>
      <c r="D6" s="1">
        <v>-1486.6607365626442</v>
      </c>
      <c r="E6" s="91">
        <v>7499.9810658560655</v>
      </c>
      <c r="F6" s="1">
        <v>7820.8246556173635</v>
      </c>
      <c r="G6" s="1">
        <v>12816.455725424945</v>
      </c>
      <c r="H6" s="1">
        <v>8666.5947945179687</v>
      </c>
      <c r="I6" s="1">
        <v>11792.783392566229</v>
      </c>
      <c r="J6" s="1">
        <v>9761</v>
      </c>
      <c r="K6" s="1">
        <v>6980</v>
      </c>
      <c r="L6" s="70">
        <v>6543.3297913525712</v>
      </c>
      <c r="M6" s="70">
        <v>7914.9707313263134</v>
      </c>
      <c r="N6" s="70">
        <v>5781.7340095545478</v>
      </c>
      <c r="O6" s="70">
        <v>2622.2080576154544</v>
      </c>
      <c r="P6" s="70">
        <v>2131.9048353740418</v>
      </c>
      <c r="Q6" s="70">
        <v>4635.0851144308572</v>
      </c>
      <c r="R6" s="70">
        <v>2448</v>
      </c>
      <c r="S6" s="70">
        <v>4197.223772308148</v>
      </c>
      <c r="T6" s="70">
        <v>10313.316592710129</v>
      </c>
      <c r="U6" s="1">
        <v>4891</v>
      </c>
      <c r="V6" s="29">
        <v>5836</v>
      </c>
      <c r="Y6" s="1"/>
      <c r="Z6" s="1"/>
    </row>
    <row r="7" spans="1:26" ht="13.8" thickBot="1" x14ac:dyDescent="0.3">
      <c r="A7" s="21" t="s">
        <v>59</v>
      </c>
      <c r="B7" s="27">
        <f t="shared" si="0"/>
        <v>0.459019334263504</v>
      </c>
      <c r="C7" s="109">
        <v>-3206.9000000000015</v>
      </c>
      <c r="D7" s="1">
        <v>-3829</v>
      </c>
      <c r="E7" s="91">
        <v>14639.8</v>
      </c>
      <c r="F7" s="1">
        <v>10034</v>
      </c>
      <c r="G7" s="1">
        <v>11994.470000000001</v>
      </c>
      <c r="H7" s="1">
        <v>8061</v>
      </c>
      <c r="I7" s="1">
        <v>11778.39</v>
      </c>
      <c r="J7" s="1">
        <v>5692</v>
      </c>
      <c r="K7" s="1">
        <v>4670</v>
      </c>
      <c r="L7" s="70">
        <v>5290</v>
      </c>
      <c r="M7" s="70">
        <v>4437.1000000000004</v>
      </c>
      <c r="N7" s="70">
        <v>4218.1180000000004</v>
      </c>
      <c r="O7" s="70">
        <v>3902.134</v>
      </c>
      <c r="P7" s="70">
        <v>2607</v>
      </c>
      <c r="Q7" s="70">
        <v>5184.59</v>
      </c>
      <c r="R7" s="70">
        <v>2766</v>
      </c>
      <c r="S7" s="70">
        <v>3768</v>
      </c>
      <c r="T7" s="70">
        <v>3368</v>
      </c>
      <c r="U7" s="1">
        <v>2552</v>
      </c>
      <c r="V7" s="29">
        <v>3062</v>
      </c>
      <c r="Y7" s="1"/>
      <c r="Z7" s="1"/>
    </row>
    <row r="8" spans="1:26" ht="13.8" thickBot="1" x14ac:dyDescent="0.3">
      <c r="A8" s="23" t="s">
        <v>23</v>
      </c>
      <c r="B8" s="122">
        <f t="shared" si="0"/>
        <v>0.36678707143340733</v>
      </c>
      <c r="C8" s="115">
        <v>-24662.254192925306</v>
      </c>
      <c r="D8" s="43">
        <v>-27064.776743140552</v>
      </c>
      <c r="E8" s="124">
        <f t="shared" ref="E8:J8" si="1">SUM(E2:E7)</f>
        <v>113004.45241214971</v>
      </c>
      <c r="F8" s="43">
        <f t="shared" si="1"/>
        <v>82678.900593958038</v>
      </c>
      <c r="G8" s="43">
        <f t="shared" si="1"/>
        <v>140221.20462254473</v>
      </c>
      <c r="H8" s="43">
        <f t="shared" si="1"/>
        <v>88447.893846259278</v>
      </c>
      <c r="I8" s="43">
        <f t="shared" si="1"/>
        <v>147270.06203051447</v>
      </c>
      <c r="J8" s="43">
        <f t="shared" si="1"/>
        <v>111614</v>
      </c>
      <c r="K8" s="43">
        <f t="shared" ref="K8:P8" si="2">SUM(K2:K7)</f>
        <v>88490</v>
      </c>
      <c r="L8" s="43">
        <f t="shared" si="2"/>
        <v>125751.73689310774</v>
      </c>
      <c r="M8" s="43">
        <f t="shared" si="2"/>
        <v>90361.609288090141</v>
      </c>
      <c r="N8" s="43">
        <f t="shared" si="2"/>
        <v>101100.77488239626</v>
      </c>
      <c r="O8" s="43">
        <f t="shared" si="2"/>
        <v>89872.261951597146</v>
      </c>
      <c r="P8" s="43">
        <f t="shared" si="2"/>
        <v>54084.798070911478</v>
      </c>
      <c r="Q8" s="43">
        <f t="shared" ref="Q8:V8" si="3">SUM(Q2:Q7)</f>
        <v>96055.348517834558</v>
      </c>
      <c r="R8" s="43">
        <f t="shared" si="3"/>
        <v>82666</v>
      </c>
      <c r="S8" s="43">
        <f t="shared" si="3"/>
        <v>74812.849279070084</v>
      </c>
      <c r="T8" s="43">
        <f t="shared" si="3"/>
        <v>106287.422811934</v>
      </c>
      <c r="U8" s="43">
        <f t="shared" si="3"/>
        <v>76346</v>
      </c>
      <c r="V8" s="79">
        <f t="shared" si="3"/>
        <v>64969</v>
      </c>
      <c r="Y8" s="1"/>
      <c r="Z8" s="1"/>
    </row>
    <row r="9" spans="1:26" x14ac:dyDescent="0.25">
      <c r="B9" s="36" t="str">
        <f t="shared" si="0"/>
        <v/>
      </c>
      <c r="C9" s="36"/>
      <c r="D9" s="36"/>
      <c r="E9" s="36"/>
      <c r="F9" s="36"/>
      <c r="G9" s="36"/>
      <c r="H9" s="36"/>
      <c r="I9" s="36"/>
      <c r="J9" s="36"/>
      <c r="K9" s="36"/>
      <c r="Y9" s="1"/>
      <c r="Z9" s="1"/>
    </row>
    <row r="10" spans="1:26" ht="13.8" thickBot="1" x14ac:dyDescent="0.3">
      <c r="B10" s="36" t="str">
        <f t="shared" si="0"/>
        <v/>
      </c>
      <c r="C10" s="36"/>
      <c r="D10" s="36"/>
      <c r="E10" s="36"/>
      <c r="F10" s="36"/>
      <c r="G10" s="36"/>
      <c r="H10" s="36"/>
      <c r="I10" s="36"/>
      <c r="J10" s="36"/>
      <c r="K10" s="36"/>
    </row>
    <row r="11" spans="1:26" ht="13.8" thickBot="1" x14ac:dyDescent="0.3">
      <c r="A11" s="23" t="s">
        <v>25</v>
      </c>
      <c r="B11" s="24" t="s">
        <v>182</v>
      </c>
      <c r="C11" s="125" t="s">
        <v>183</v>
      </c>
      <c r="D11" s="69" t="s">
        <v>178</v>
      </c>
      <c r="E11" s="127">
        <v>45383</v>
      </c>
      <c r="F11" s="101">
        <v>45017</v>
      </c>
      <c r="G11" s="101">
        <v>44652</v>
      </c>
      <c r="H11" s="101">
        <v>44287</v>
      </c>
      <c r="I11" s="101">
        <v>43922</v>
      </c>
      <c r="J11" s="101">
        <v>43556</v>
      </c>
      <c r="K11" s="101">
        <v>43191</v>
      </c>
      <c r="L11" s="25">
        <v>42826</v>
      </c>
      <c r="M11" s="25">
        <v>42461</v>
      </c>
      <c r="N11" s="25">
        <v>42095</v>
      </c>
      <c r="O11" s="25">
        <v>41730</v>
      </c>
      <c r="P11" s="25">
        <v>41365</v>
      </c>
      <c r="Q11" s="25">
        <v>41000</v>
      </c>
      <c r="R11" s="25">
        <v>40634</v>
      </c>
      <c r="S11" s="25">
        <v>40269</v>
      </c>
      <c r="T11" s="25">
        <v>39904</v>
      </c>
      <c r="U11" s="25">
        <v>39539</v>
      </c>
      <c r="V11" s="26">
        <v>39173</v>
      </c>
    </row>
    <row r="12" spans="1:26" x14ac:dyDescent="0.25">
      <c r="A12" s="20" t="s">
        <v>38</v>
      </c>
      <c r="B12" s="27">
        <f t="shared" ref="B12:B31" si="4">IFERROR(((E12-F12)/F12),"")</f>
        <v>-0.56520925410615352</v>
      </c>
      <c r="C12" s="109">
        <v>-67.502256394360558</v>
      </c>
      <c r="D12" s="1">
        <v>-380.7492629503501</v>
      </c>
      <c r="E12" s="91">
        <v>213.29578619857895</v>
      </c>
      <c r="F12" s="1">
        <v>490.57112694540825</v>
      </c>
      <c r="G12" s="1">
        <v>292.33733981268983</v>
      </c>
      <c r="H12" s="1">
        <v>838.63686324640423</v>
      </c>
      <c r="I12" s="1">
        <v>864.41877300086946</v>
      </c>
      <c r="J12" s="1">
        <v>612</v>
      </c>
      <c r="K12" s="1">
        <v>916</v>
      </c>
      <c r="L12" s="1">
        <v>985.78212365534273</v>
      </c>
      <c r="M12" s="1">
        <v>372.69344392608912</v>
      </c>
      <c r="N12" s="1">
        <v>585.49610484238758</v>
      </c>
      <c r="O12" s="1">
        <v>2521.9151000761449</v>
      </c>
      <c r="P12" s="1">
        <v>62.54136214165181</v>
      </c>
      <c r="Q12" s="1">
        <v>3179.9660753527169</v>
      </c>
      <c r="R12" s="1">
        <v>2263</v>
      </c>
      <c r="S12" s="1">
        <v>1451.426480970579</v>
      </c>
      <c r="T12" s="1">
        <v>894.48632173766396</v>
      </c>
      <c r="U12" s="1">
        <v>642</v>
      </c>
      <c r="V12" s="29">
        <v>3281</v>
      </c>
    </row>
    <row r="13" spans="1:26" x14ac:dyDescent="0.25">
      <c r="A13" s="20" t="s">
        <v>39</v>
      </c>
      <c r="B13" s="27">
        <f t="shared" si="4"/>
        <v>-0.87082367380432235</v>
      </c>
      <c r="C13" s="109">
        <v>-241.24645454741201</v>
      </c>
      <c r="D13" s="1">
        <v>-871.07564401325658</v>
      </c>
      <c r="E13" s="91">
        <v>118.49765899921053</v>
      </c>
      <c r="F13" s="1">
        <v>917.3326296624125</v>
      </c>
      <c r="G13" s="1">
        <v>405.93657233578261</v>
      </c>
      <c r="H13" s="1">
        <v>2304.6355471354682</v>
      </c>
      <c r="I13" s="1">
        <v>558.84918783799128</v>
      </c>
      <c r="J13" s="1">
        <v>1653</v>
      </c>
      <c r="K13" s="1">
        <v>3346</v>
      </c>
      <c r="L13" s="1">
        <v>1542.2346504176121</v>
      </c>
      <c r="M13" s="1">
        <v>1859.3620256859326</v>
      </c>
      <c r="N13" s="1">
        <v>4275.0406580721483</v>
      </c>
      <c r="O13" s="1">
        <v>3904.7340513738932</v>
      </c>
      <c r="P13" s="1">
        <v>1873.002115138647</v>
      </c>
      <c r="Q13" s="1">
        <v>4672.4939831291604</v>
      </c>
      <c r="R13" s="1">
        <v>7701</v>
      </c>
      <c r="S13" s="1">
        <v>6311.930972154586</v>
      </c>
      <c r="T13" s="1">
        <v>2045.5221628081351</v>
      </c>
      <c r="U13" s="1">
        <v>12074</v>
      </c>
      <c r="V13" s="29">
        <v>5483</v>
      </c>
      <c r="Y13" s="1"/>
      <c r="Z13" s="1"/>
    </row>
    <row r="14" spans="1:26" x14ac:dyDescent="0.25">
      <c r="A14" s="20" t="s">
        <v>7</v>
      </c>
      <c r="B14" s="27">
        <f t="shared" si="4"/>
        <v>0.58227843063062623</v>
      </c>
      <c r="C14" s="109">
        <v>-7646.2302040631403</v>
      </c>
      <c r="D14" s="1">
        <v>-8255.7414559450626</v>
      </c>
      <c r="E14" s="91">
        <v>25040.095816100176</v>
      </c>
      <c r="F14" s="1">
        <v>15825.341059677026</v>
      </c>
      <c r="G14" s="1">
        <v>27637.113446673924</v>
      </c>
      <c r="H14" s="1">
        <v>21710.487739542765</v>
      </c>
      <c r="I14" s="1">
        <v>26486.653172426712</v>
      </c>
      <c r="J14" s="1">
        <v>23562</v>
      </c>
      <c r="K14" s="1">
        <v>28418</v>
      </c>
      <c r="L14" s="1">
        <v>19933.04275900482</v>
      </c>
      <c r="M14" s="1">
        <v>27608.174026550005</v>
      </c>
      <c r="N14" s="1">
        <v>29678.289786926431</v>
      </c>
      <c r="O14" s="1">
        <v>32867.327479316067</v>
      </c>
      <c r="P14" s="1">
        <v>12547.502709195298</v>
      </c>
      <c r="Q14" s="1">
        <v>49291.278797500425</v>
      </c>
      <c r="R14" s="1">
        <v>40262</v>
      </c>
      <c r="S14" s="1">
        <v>26033.994844091048</v>
      </c>
      <c r="T14" s="1">
        <v>32472.782969568874</v>
      </c>
      <c r="U14" s="1">
        <v>19524</v>
      </c>
      <c r="V14" s="29">
        <v>29727</v>
      </c>
      <c r="Y14" s="1"/>
      <c r="Z14" s="1"/>
    </row>
    <row r="15" spans="1:26" x14ac:dyDescent="0.25">
      <c r="A15" s="20" t="s">
        <v>111</v>
      </c>
      <c r="B15" s="27" t="str">
        <f t="shared" si="4"/>
        <v/>
      </c>
      <c r="C15" s="109">
        <v>0</v>
      </c>
      <c r="D15" s="1">
        <v>0</v>
      </c>
      <c r="E15" s="91"/>
      <c r="F15" s="1">
        <v>0</v>
      </c>
      <c r="G15" s="1">
        <v>0</v>
      </c>
      <c r="H15" s="1">
        <v>0</v>
      </c>
      <c r="I15" s="1">
        <v>1.1347652449601837</v>
      </c>
      <c r="J15" s="1"/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29">
        <v>0</v>
      </c>
      <c r="Y15" s="1"/>
      <c r="Z15" s="1"/>
    </row>
    <row r="16" spans="1:26" ht="13.8" thickBot="1" x14ac:dyDescent="0.3">
      <c r="A16" s="20" t="s">
        <v>59</v>
      </c>
      <c r="B16" s="27">
        <f t="shared" si="4"/>
        <v>-0.20289862656895208</v>
      </c>
      <c r="C16" s="109">
        <v>-336.04142585626357</v>
      </c>
      <c r="D16" s="1">
        <v>-350.188821439869</v>
      </c>
      <c r="E16" s="91">
        <v>210.0178462792737</v>
      </c>
      <c r="F16" s="1">
        <v>263.47695949295837</v>
      </c>
      <c r="G16" s="1">
        <v>95.153095178403163</v>
      </c>
      <c r="H16" s="1">
        <v>551.04739405495047</v>
      </c>
      <c r="I16" s="1">
        <v>554.77600838187107</v>
      </c>
      <c r="J16" s="1">
        <v>571</v>
      </c>
      <c r="K16" s="1">
        <v>819</v>
      </c>
      <c r="L16" s="1">
        <v>710.69493938968969</v>
      </c>
      <c r="M16" s="1">
        <v>536.80435474854266</v>
      </c>
      <c r="N16" s="1">
        <v>404.006966867458</v>
      </c>
      <c r="O16" s="1">
        <v>1007.031010087787</v>
      </c>
      <c r="P16" s="1">
        <v>185.12830671637698</v>
      </c>
      <c r="Q16" s="1">
        <v>1831.8213674782187</v>
      </c>
      <c r="R16" s="1">
        <v>754</v>
      </c>
      <c r="S16" s="1">
        <v>1379.4966621281749</v>
      </c>
      <c r="T16" s="1">
        <v>793.98003496166564</v>
      </c>
      <c r="U16" s="1">
        <v>1851</v>
      </c>
      <c r="V16" s="29">
        <v>2391</v>
      </c>
      <c r="Y16" s="1"/>
      <c r="Z16" s="1"/>
    </row>
    <row r="17" spans="1:26" ht="13.8" thickBot="1" x14ac:dyDescent="0.3">
      <c r="A17" s="23" t="s">
        <v>23</v>
      </c>
      <c r="B17" s="122">
        <f t="shared" si="4"/>
        <v>0.46209715370752702</v>
      </c>
      <c r="C17" s="115">
        <v>-8291.0203408611778</v>
      </c>
      <c r="D17" s="43">
        <v>-9857.755184348538</v>
      </c>
      <c r="E17" s="124">
        <f t="shared" ref="E17:J17" si="5">SUM(E12:E16)</f>
        <v>25581.907107577237</v>
      </c>
      <c r="F17" s="43">
        <f t="shared" si="5"/>
        <v>17496.721775777805</v>
      </c>
      <c r="G17" s="43">
        <f t="shared" si="5"/>
        <v>28430.540454000802</v>
      </c>
      <c r="H17" s="43">
        <f t="shared" si="5"/>
        <v>25404.807543979587</v>
      </c>
      <c r="I17" s="43">
        <f t="shared" si="5"/>
        <v>28465.831906892403</v>
      </c>
      <c r="J17" s="43">
        <f t="shared" si="5"/>
        <v>26398</v>
      </c>
      <c r="K17" s="43">
        <f t="shared" ref="K17:P17" si="6">SUM(K12:K16)</f>
        <v>33499</v>
      </c>
      <c r="L17" s="43">
        <f t="shared" si="6"/>
        <v>23171.754472467466</v>
      </c>
      <c r="M17" s="43">
        <f t="shared" si="6"/>
        <v>30377.033850910571</v>
      </c>
      <c r="N17" s="43">
        <f t="shared" si="6"/>
        <v>34942.833516708422</v>
      </c>
      <c r="O17" s="43">
        <f t="shared" si="6"/>
        <v>40301.007640853895</v>
      </c>
      <c r="P17" s="43">
        <f t="shared" si="6"/>
        <v>14668.174493191973</v>
      </c>
      <c r="Q17" s="43">
        <f t="shared" ref="Q17:V17" si="7">SUM(Q12:Q16)</f>
        <v>58975.560223460518</v>
      </c>
      <c r="R17" s="43">
        <f t="shared" si="7"/>
        <v>50980</v>
      </c>
      <c r="S17" s="43">
        <f t="shared" si="7"/>
        <v>35176.848959344396</v>
      </c>
      <c r="T17" s="43">
        <f t="shared" si="7"/>
        <v>36206.771489076338</v>
      </c>
      <c r="U17" s="43">
        <f t="shared" si="7"/>
        <v>34091</v>
      </c>
      <c r="V17" s="79">
        <f t="shared" si="7"/>
        <v>40882</v>
      </c>
      <c r="Y17" s="1"/>
      <c r="Z17" s="1"/>
    </row>
    <row r="18" spans="1:26" x14ac:dyDescent="0.25">
      <c r="B18" t="str">
        <f t="shared" si="4"/>
        <v/>
      </c>
    </row>
    <row r="19" spans="1:26" x14ac:dyDescent="0.25">
      <c r="B19" t="str">
        <f t="shared" si="4"/>
        <v/>
      </c>
    </row>
    <row r="20" spans="1:26" ht="13.8" x14ac:dyDescent="0.25">
      <c r="B20" t="str">
        <f t="shared" si="4"/>
        <v/>
      </c>
      <c r="K20" s="87"/>
      <c r="L20" s="87"/>
    </row>
    <row r="21" spans="1:26" ht="13.8" x14ac:dyDescent="0.25">
      <c r="B21" t="str">
        <f t="shared" si="4"/>
        <v/>
      </c>
      <c r="K21" s="87"/>
      <c r="L21" s="87"/>
    </row>
    <row r="22" spans="1:26" ht="13.8" x14ac:dyDescent="0.25">
      <c r="B22" t="str">
        <f t="shared" si="4"/>
        <v/>
      </c>
      <c r="K22" s="87"/>
      <c r="L22" s="87"/>
    </row>
    <row r="23" spans="1:26" ht="13.8" x14ac:dyDescent="0.25">
      <c r="B23" t="str">
        <f t="shared" si="4"/>
        <v/>
      </c>
      <c r="K23" s="87"/>
      <c r="L23" s="87"/>
    </row>
    <row r="24" spans="1:26" ht="17.399999999999999" x14ac:dyDescent="0.3">
      <c r="B24" t="str">
        <f t="shared" si="4"/>
        <v/>
      </c>
      <c r="K24" s="87"/>
      <c r="L24" s="87"/>
      <c r="U24" s="5"/>
      <c r="V24" s="1"/>
      <c r="W24" s="1"/>
    </row>
    <row r="25" spans="1:26" ht="17.399999999999999" x14ac:dyDescent="0.3">
      <c r="B25" t="str">
        <f t="shared" si="4"/>
        <v/>
      </c>
      <c r="K25" s="87"/>
      <c r="L25" s="87"/>
      <c r="U25" s="5"/>
      <c r="V25" s="1"/>
      <c r="W25" s="1"/>
    </row>
    <row r="26" spans="1:26" ht="17.399999999999999" x14ac:dyDescent="0.3">
      <c r="B26" t="str">
        <f t="shared" si="4"/>
        <v/>
      </c>
      <c r="U26" s="5"/>
      <c r="V26" s="1"/>
      <c r="W26" s="1"/>
    </row>
    <row r="27" spans="1:26" ht="17.399999999999999" x14ac:dyDescent="0.3">
      <c r="B27" t="str">
        <f t="shared" si="4"/>
        <v/>
      </c>
      <c r="U27" s="5"/>
      <c r="V27" s="1"/>
      <c r="W27" s="1"/>
    </row>
    <row r="28" spans="1:26" ht="17.399999999999999" x14ac:dyDescent="0.3">
      <c r="B28" t="str">
        <f t="shared" si="4"/>
        <v/>
      </c>
      <c r="U28" s="5"/>
      <c r="V28" s="1"/>
      <c r="W28" s="1"/>
    </row>
    <row r="29" spans="1:26" ht="17.399999999999999" x14ac:dyDescent="0.3">
      <c r="B29" t="str">
        <f t="shared" si="4"/>
        <v/>
      </c>
      <c r="U29" s="5"/>
      <c r="V29" s="1"/>
      <c r="W29" s="1"/>
    </row>
    <row r="30" spans="1:26" ht="17.399999999999999" x14ac:dyDescent="0.3">
      <c r="B30" t="str">
        <f t="shared" si="4"/>
        <v/>
      </c>
      <c r="U30" s="5"/>
      <c r="V30" s="1"/>
      <c r="W30" s="1"/>
    </row>
    <row r="31" spans="1:26" ht="17.399999999999999" x14ac:dyDescent="0.3">
      <c r="B31" t="str">
        <f t="shared" si="4"/>
        <v/>
      </c>
      <c r="U31" s="5"/>
      <c r="V31" s="1"/>
      <c r="W31" s="1"/>
    </row>
    <row r="32" spans="1:26" ht="17.399999999999999" x14ac:dyDescent="0.3">
      <c r="U32" s="5"/>
      <c r="V32" s="1"/>
      <c r="W32" s="1"/>
    </row>
    <row r="33" spans="21:23" ht="17.399999999999999" x14ac:dyDescent="0.3">
      <c r="U33" s="5"/>
      <c r="V33" s="1"/>
      <c r="W33" s="1"/>
    </row>
    <row r="34" spans="21:23" ht="17.399999999999999" x14ac:dyDescent="0.3">
      <c r="U34" s="6"/>
      <c r="V34" s="1"/>
      <c r="W34" s="1"/>
    </row>
    <row r="35" spans="21:23" ht="18" x14ac:dyDescent="0.35">
      <c r="U35" s="7"/>
      <c r="V35" s="2"/>
      <c r="W35" s="2"/>
    </row>
  </sheetData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46"/>
  <sheetViews>
    <sheetView zoomScaleNormal="80"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10" width="11.6640625" customWidth="1"/>
    <col min="11" max="11" width="12" customWidth="1"/>
    <col min="12" max="12" width="10.77734375" customWidth="1"/>
    <col min="13" max="22" width="10.109375" bestFit="1" customWidth="1"/>
  </cols>
  <sheetData>
    <row r="1" spans="1:22" ht="13.8" thickBot="1" x14ac:dyDescent="0.3">
      <c r="A1" s="23" t="s">
        <v>24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5">
        <v>40269</v>
      </c>
      <c r="T1" s="25">
        <v>39904</v>
      </c>
      <c r="U1" s="25">
        <v>39539</v>
      </c>
      <c r="V1" s="26">
        <v>39173</v>
      </c>
    </row>
    <row r="2" spans="1:22" x14ac:dyDescent="0.25">
      <c r="A2" s="20" t="s">
        <v>4</v>
      </c>
      <c r="B2" s="27">
        <f t="shared" ref="B2:B21" si="0">IFERROR(((E2-F2)/F2),"")</f>
        <v>-0.99444444444444446</v>
      </c>
      <c r="C2" s="109">
        <v>-4</v>
      </c>
      <c r="D2" s="1">
        <v>-293</v>
      </c>
      <c r="E2" s="91">
        <v>1</v>
      </c>
      <c r="F2" s="1">
        <v>180</v>
      </c>
      <c r="G2" s="1">
        <v>5</v>
      </c>
      <c r="H2" s="1">
        <v>0</v>
      </c>
      <c r="I2" s="1">
        <v>0</v>
      </c>
      <c r="J2" s="1">
        <v>5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1</v>
      </c>
      <c r="Q2" s="1">
        <v>0</v>
      </c>
      <c r="R2" s="1">
        <v>0</v>
      </c>
      <c r="S2" s="1">
        <v>0</v>
      </c>
      <c r="T2" s="1">
        <v>22</v>
      </c>
      <c r="U2" s="1">
        <v>47</v>
      </c>
      <c r="V2" s="29">
        <v>5</v>
      </c>
    </row>
    <row r="3" spans="1:22" x14ac:dyDescent="0.25">
      <c r="A3" s="20" t="s">
        <v>11</v>
      </c>
      <c r="B3" s="27">
        <f t="shared" si="0"/>
        <v>0.1072768192048012</v>
      </c>
      <c r="C3" s="109">
        <v>-1412</v>
      </c>
      <c r="D3" s="1">
        <v>-1323</v>
      </c>
      <c r="E3" s="91">
        <v>4428</v>
      </c>
      <c r="F3" s="1">
        <v>3999</v>
      </c>
      <c r="G3" s="1">
        <v>4180</v>
      </c>
      <c r="H3" s="1">
        <v>4344</v>
      </c>
      <c r="I3" s="1">
        <v>3543</v>
      </c>
      <c r="J3" s="1">
        <f>5845+155</f>
        <v>6000</v>
      </c>
      <c r="K3" s="1">
        <v>1314</v>
      </c>
      <c r="L3" s="1">
        <v>4280</v>
      </c>
      <c r="M3" s="1">
        <v>4272</v>
      </c>
      <c r="N3" s="1">
        <v>4092</v>
      </c>
      <c r="O3" s="1">
        <v>4612</v>
      </c>
      <c r="P3" s="1">
        <v>3844</v>
      </c>
      <c r="Q3" s="1">
        <v>4250</v>
      </c>
      <c r="R3" s="1">
        <v>3159</v>
      </c>
      <c r="S3" s="1">
        <v>3252</v>
      </c>
      <c r="T3" s="1">
        <v>2311</v>
      </c>
      <c r="U3" s="1">
        <v>1764</v>
      </c>
      <c r="V3" s="29">
        <v>1242</v>
      </c>
    </row>
    <row r="4" spans="1:22" x14ac:dyDescent="0.25">
      <c r="A4" s="20" t="s">
        <v>5</v>
      </c>
      <c r="B4" s="27" t="str">
        <f t="shared" si="0"/>
        <v/>
      </c>
      <c r="C4" s="109">
        <v>0</v>
      </c>
      <c r="D4" s="1">
        <v>0</v>
      </c>
      <c r="E4" s="91">
        <v>0</v>
      </c>
      <c r="F4" s="1">
        <v>0</v>
      </c>
      <c r="G4" s="1">
        <v>0</v>
      </c>
      <c r="H4" s="1">
        <v>0</v>
      </c>
      <c r="I4" s="1">
        <v>0</v>
      </c>
      <c r="J4" s="1"/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29">
        <v>0</v>
      </c>
    </row>
    <row r="5" spans="1:22" x14ac:dyDescent="0.25">
      <c r="A5" s="20" t="s">
        <v>2</v>
      </c>
      <c r="B5" s="27" t="str">
        <f t="shared" si="0"/>
        <v/>
      </c>
      <c r="C5" s="109">
        <v>0</v>
      </c>
      <c r="D5" s="1">
        <v>0</v>
      </c>
      <c r="E5" s="91">
        <v>0</v>
      </c>
      <c r="F5" s="1">
        <v>0</v>
      </c>
      <c r="G5" s="1">
        <v>0</v>
      </c>
      <c r="H5" s="1">
        <v>0</v>
      </c>
      <c r="I5" s="1">
        <v>0</v>
      </c>
      <c r="J5" s="1"/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37</v>
      </c>
      <c r="R5" s="1">
        <v>0</v>
      </c>
      <c r="S5" s="1">
        <v>0</v>
      </c>
      <c r="T5" s="1">
        <v>0</v>
      </c>
      <c r="U5" s="1">
        <v>0</v>
      </c>
      <c r="V5" s="29">
        <v>0</v>
      </c>
    </row>
    <row r="6" spans="1:22" x14ac:dyDescent="0.25">
      <c r="A6" s="20" t="s">
        <v>9</v>
      </c>
      <c r="B6" s="27">
        <f t="shared" si="0"/>
        <v>0.12014612366391557</v>
      </c>
      <c r="C6" s="109">
        <v>-2719</v>
      </c>
      <c r="D6" s="1">
        <v>-3275</v>
      </c>
      <c r="E6" s="91">
        <v>8279</v>
      </c>
      <c r="F6" s="1">
        <v>7391</v>
      </c>
      <c r="G6" s="1">
        <v>12285</v>
      </c>
      <c r="H6" s="1">
        <v>11724</v>
      </c>
      <c r="I6" s="1">
        <v>10542</v>
      </c>
      <c r="J6" s="1">
        <f>10794+434</f>
        <v>11228</v>
      </c>
      <c r="K6" s="1">
        <v>3807</v>
      </c>
      <c r="L6" s="1">
        <v>6880</v>
      </c>
      <c r="M6" s="1">
        <v>9363</v>
      </c>
      <c r="N6" s="1">
        <v>7627</v>
      </c>
      <c r="O6" s="1">
        <v>8538</v>
      </c>
      <c r="P6" s="1">
        <v>7726</v>
      </c>
      <c r="Q6" s="1">
        <v>10932</v>
      </c>
      <c r="R6" s="1">
        <v>8194</v>
      </c>
      <c r="S6" s="1">
        <v>8556</v>
      </c>
      <c r="T6" s="1">
        <v>4808</v>
      </c>
      <c r="U6" s="1">
        <v>8099</v>
      </c>
      <c r="V6" s="29">
        <v>4572</v>
      </c>
    </row>
    <row r="7" spans="1:22" x14ac:dyDescent="0.25">
      <c r="A7" s="20" t="s">
        <v>112</v>
      </c>
      <c r="B7" s="27">
        <f t="shared" si="0"/>
        <v>-0.89189189189189189</v>
      </c>
      <c r="C7" s="109">
        <v>-4</v>
      </c>
      <c r="D7" s="1">
        <v>3</v>
      </c>
      <c r="E7" s="91">
        <v>4</v>
      </c>
      <c r="F7" s="1">
        <v>37</v>
      </c>
      <c r="G7" s="1">
        <v>41</v>
      </c>
      <c r="H7" s="1">
        <v>20</v>
      </c>
      <c r="I7" s="1">
        <v>15</v>
      </c>
      <c r="J7" s="1">
        <f>67+31</f>
        <v>98</v>
      </c>
      <c r="K7" s="1">
        <v>4</v>
      </c>
      <c r="L7" s="1">
        <v>57</v>
      </c>
      <c r="M7" s="1">
        <v>65</v>
      </c>
      <c r="N7" s="1">
        <v>28</v>
      </c>
      <c r="O7" s="1">
        <v>85</v>
      </c>
      <c r="P7" s="1">
        <v>90</v>
      </c>
      <c r="Q7" s="1">
        <v>43</v>
      </c>
      <c r="R7" s="1">
        <v>386</v>
      </c>
      <c r="S7" s="1">
        <v>50</v>
      </c>
      <c r="T7" s="1">
        <v>371</v>
      </c>
      <c r="U7" s="1">
        <v>220</v>
      </c>
      <c r="V7" s="29">
        <v>347</v>
      </c>
    </row>
    <row r="8" spans="1:22" x14ac:dyDescent="0.25">
      <c r="A8" s="20" t="s">
        <v>3</v>
      </c>
      <c r="B8" s="27">
        <f t="shared" si="0"/>
        <v>5.5028129395218006E-2</v>
      </c>
      <c r="C8" s="109">
        <v>-1037</v>
      </c>
      <c r="D8" s="1">
        <v>-1154</v>
      </c>
      <c r="E8" s="91">
        <v>6001</v>
      </c>
      <c r="F8" s="1">
        <v>5688</v>
      </c>
      <c r="G8" s="1">
        <v>7047</v>
      </c>
      <c r="H8" s="1">
        <v>6282</v>
      </c>
      <c r="I8" s="1">
        <v>7079</v>
      </c>
      <c r="J8" s="1">
        <f>6788+105</f>
        <v>6893</v>
      </c>
      <c r="K8" s="1">
        <v>5526</v>
      </c>
      <c r="L8" s="70">
        <v>9466</v>
      </c>
      <c r="M8" s="70">
        <v>7619</v>
      </c>
      <c r="N8" s="70">
        <v>9069</v>
      </c>
      <c r="O8" s="70">
        <v>7018</v>
      </c>
      <c r="P8" s="70">
        <v>9996</v>
      </c>
      <c r="Q8" s="70">
        <v>9736</v>
      </c>
      <c r="R8" s="70">
        <v>11300</v>
      </c>
      <c r="S8" s="70">
        <v>12055</v>
      </c>
      <c r="T8" s="70">
        <v>12645</v>
      </c>
      <c r="U8" s="1">
        <v>12858</v>
      </c>
      <c r="V8" s="29">
        <v>13293</v>
      </c>
    </row>
    <row r="9" spans="1:22" x14ac:dyDescent="0.25">
      <c r="A9" s="20" t="s">
        <v>17</v>
      </c>
      <c r="B9" s="27">
        <f t="shared" si="0"/>
        <v>-0.5725190839694656</v>
      </c>
      <c r="C9" s="109">
        <v>-69</v>
      </c>
      <c r="D9" s="1">
        <v>-33</v>
      </c>
      <c r="E9" s="91">
        <v>56</v>
      </c>
      <c r="F9" s="1">
        <v>131</v>
      </c>
      <c r="G9" s="1">
        <v>286</v>
      </c>
      <c r="H9" s="1">
        <v>48</v>
      </c>
      <c r="I9" s="1">
        <v>35</v>
      </c>
      <c r="J9" s="1">
        <v>80</v>
      </c>
      <c r="K9" s="1">
        <v>38</v>
      </c>
      <c r="L9" s="70">
        <v>57</v>
      </c>
      <c r="M9" s="70">
        <v>18</v>
      </c>
      <c r="N9" s="70">
        <v>10</v>
      </c>
      <c r="O9" s="70">
        <v>9</v>
      </c>
      <c r="P9" s="70">
        <v>29</v>
      </c>
      <c r="Q9" s="70">
        <v>0</v>
      </c>
      <c r="R9" s="70">
        <v>43</v>
      </c>
      <c r="S9" s="70">
        <v>5</v>
      </c>
      <c r="T9" s="70">
        <v>64</v>
      </c>
      <c r="U9" s="1">
        <v>0</v>
      </c>
      <c r="V9" s="29">
        <v>1</v>
      </c>
    </row>
    <row r="10" spans="1:22" x14ac:dyDescent="0.25">
      <c r="A10" s="20" t="s">
        <v>10</v>
      </c>
      <c r="B10" s="27">
        <f t="shared" si="0"/>
        <v>-0.64925373134328357</v>
      </c>
      <c r="C10" s="109">
        <v>-74</v>
      </c>
      <c r="D10" s="1">
        <v>-50</v>
      </c>
      <c r="E10" s="91">
        <v>94</v>
      </c>
      <c r="F10" s="1">
        <v>268</v>
      </c>
      <c r="G10" s="1">
        <v>272</v>
      </c>
      <c r="H10" s="1">
        <v>343</v>
      </c>
      <c r="I10" s="1">
        <v>104</v>
      </c>
      <c r="J10" s="1">
        <v>266</v>
      </c>
      <c r="K10" s="1">
        <v>14</v>
      </c>
      <c r="L10" s="70">
        <v>312</v>
      </c>
      <c r="M10" s="70">
        <v>750</v>
      </c>
      <c r="N10" s="70">
        <v>738</v>
      </c>
      <c r="O10" s="70">
        <v>1245</v>
      </c>
      <c r="P10" s="70">
        <v>1153</v>
      </c>
      <c r="Q10" s="70">
        <v>678</v>
      </c>
      <c r="R10" s="70">
        <v>2227</v>
      </c>
      <c r="S10" s="70">
        <v>1405</v>
      </c>
      <c r="T10" s="70">
        <v>2019</v>
      </c>
      <c r="U10" s="1">
        <v>973</v>
      </c>
      <c r="V10" s="29">
        <v>2344</v>
      </c>
    </row>
    <row r="11" spans="1:22" x14ac:dyDescent="0.25">
      <c r="A11" s="20" t="s">
        <v>27</v>
      </c>
      <c r="B11" s="27">
        <f t="shared" si="0"/>
        <v>-0.48807854137447404</v>
      </c>
      <c r="C11" s="109">
        <v>-282</v>
      </c>
      <c r="D11" s="1">
        <v>-228</v>
      </c>
      <c r="E11" s="91">
        <v>730</v>
      </c>
      <c r="F11" s="1">
        <v>1426</v>
      </c>
      <c r="G11" s="1">
        <v>1180</v>
      </c>
      <c r="H11" s="1">
        <v>796</v>
      </c>
      <c r="I11" s="1">
        <v>1393</v>
      </c>
      <c r="J11" s="1">
        <f>1467+94</f>
        <v>1561</v>
      </c>
      <c r="K11" s="1">
        <v>0</v>
      </c>
      <c r="L11" s="70">
        <v>2238</v>
      </c>
      <c r="M11" s="70">
        <v>1604</v>
      </c>
      <c r="N11" s="70">
        <v>2012</v>
      </c>
      <c r="O11" s="70">
        <v>2077</v>
      </c>
      <c r="P11" s="70">
        <v>1978</v>
      </c>
      <c r="Q11" s="70">
        <v>2607</v>
      </c>
      <c r="R11" s="70">
        <v>1807</v>
      </c>
      <c r="S11" s="70">
        <v>2309</v>
      </c>
      <c r="T11" s="70">
        <v>2392</v>
      </c>
      <c r="U11" s="1">
        <v>2394</v>
      </c>
      <c r="V11" s="29">
        <v>2634</v>
      </c>
    </row>
    <row r="12" spans="1:22" x14ac:dyDescent="0.25">
      <c r="A12" s="20" t="s">
        <v>113</v>
      </c>
      <c r="B12" s="27">
        <f t="shared" si="0"/>
        <v>-1</v>
      </c>
      <c r="C12" s="109">
        <v>0</v>
      </c>
      <c r="D12" s="1">
        <v>-12</v>
      </c>
      <c r="E12" s="91">
        <v>0</v>
      </c>
      <c r="F12" s="1">
        <v>18</v>
      </c>
      <c r="G12" s="1">
        <v>0</v>
      </c>
      <c r="H12" s="1">
        <v>36</v>
      </c>
      <c r="I12" s="1">
        <v>0</v>
      </c>
      <c r="J12" s="1">
        <v>181</v>
      </c>
      <c r="K12" s="1">
        <v>0</v>
      </c>
      <c r="L12" s="70">
        <v>50</v>
      </c>
      <c r="M12" s="70">
        <v>13</v>
      </c>
      <c r="N12" s="70">
        <v>75</v>
      </c>
      <c r="O12" s="70">
        <v>104</v>
      </c>
      <c r="P12" s="70">
        <v>15</v>
      </c>
      <c r="Q12" s="70">
        <v>36</v>
      </c>
      <c r="R12" s="70">
        <v>46</v>
      </c>
      <c r="S12" s="70">
        <v>0</v>
      </c>
      <c r="T12" s="70">
        <v>10</v>
      </c>
      <c r="U12" s="1">
        <v>11</v>
      </c>
      <c r="V12" s="29">
        <v>79</v>
      </c>
    </row>
    <row r="13" spans="1:22" x14ac:dyDescent="0.25">
      <c r="A13" s="20" t="s">
        <v>114</v>
      </c>
      <c r="B13" s="27">
        <f t="shared" si="0"/>
        <v>-0.81355932203389836</v>
      </c>
      <c r="C13" s="109">
        <v>0</v>
      </c>
      <c r="D13" s="1">
        <v>-3</v>
      </c>
      <c r="E13" s="91">
        <v>11</v>
      </c>
      <c r="F13" s="1">
        <v>59</v>
      </c>
      <c r="G13" s="1">
        <v>55</v>
      </c>
      <c r="H13" s="1">
        <v>112</v>
      </c>
      <c r="I13" s="1">
        <v>23</v>
      </c>
      <c r="J13" s="1">
        <v>269</v>
      </c>
      <c r="K13" s="1">
        <v>64</v>
      </c>
      <c r="L13" s="70">
        <v>173</v>
      </c>
      <c r="M13" s="70">
        <v>337</v>
      </c>
      <c r="N13" s="70">
        <v>596</v>
      </c>
      <c r="O13" s="70">
        <v>572</v>
      </c>
      <c r="P13" s="70">
        <v>1120</v>
      </c>
      <c r="Q13" s="70">
        <v>1419</v>
      </c>
      <c r="R13" s="70">
        <v>3192</v>
      </c>
      <c r="S13" s="70">
        <v>3445</v>
      </c>
      <c r="T13" s="70">
        <v>2879</v>
      </c>
      <c r="U13" s="1">
        <v>3816</v>
      </c>
      <c r="V13" s="29">
        <v>5457</v>
      </c>
    </row>
    <row r="14" spans="1:22" x14ac:dyDescent="0.25">
      <c r="A14" s="20" t="s">
        <v>13</v>
      </c>
      <c r="B14" s="27">
        <f t="shared" si="0"/>
        <v>1.1428571428571428</v>
      </c>
      <c r="C14" s="109">
        <v>-210</v>
      </c>
      <c r="D14" s="1">
        <v>-87</v>
      </c>
      <c r="E14" s="91">
        <v>165</v>
      </c>
      <c r="F14" s="1">
        <v>77</v>
      </c>
      <c r="G14" s="1">
        <v>137</v>
      </c>
      <c r="H14" s="1">
        <v>243</v>
      </c>
      <c r="I14" s="1">
        <v>13</v>
      </c>
      <c r="J14" s="1">
        <v>102</v>
      </c>
      <c r="K14" s="1">
        <v>0</v>
      </c>
      <c r="L14" s="70">
        <v>111</v>
      </c>
      <c r="M14" s="70">
        <v>97</v>
      </c>
      <c r="N14" s="70">
        <v>23</v>
      </c>
      <c r="O14" s="70">
        <v>261</v>
      </c>
      <c r="P14" s="70">
        <v>437</v>
      </c>
      <c r="Q14" s="70">
        <v>598</v>
      </c>
      <c r="R14" s="70">
        <v>503</v>
      </c>
      <c r="S14" s="70">
        <v>445</v>
      </c>
      <c r="T14" s="70">
        <v>450</v>
      </c>
      <c r="U14" s="1">
        <v>376</v>
      </c>
      <c r="V14" s="29">
        <v>319</v>
      </c>
    </row>
    <row r="15" spans="1:22" x14ac:dyDescent="0.25">
      <c r="A15" s="20" t="s">
        <v>115</v>
      </c>
      <c r="B15" s="27">
        <f t="shared" si="0"/>
        <v>-1</v>
      </c>
      <c r="C15" s="109">
        <v>0</v>
      </c>
      <c r="D15" s="1">
        <v>-1</v>
      </c>
      <c r="E15" s="91">
        <v>0</v>
      </c>
      <c r="F15" s="1">
        <v>3</v>
      </c>
      <c r="G15" s="1">
        <v>0</v>
      </c>
      <c r="H15" s="1">
        <v>7</v>
      </c>
      <c r="I15" s="1">
        <v>0</v>
      </c>
      <c r="J15" s="1">
        <v>10</v>
      </c>
      <c r="K15" s="1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1">
        <v>0</v>
      </c>
      <c r="V15" s="29">
        <v>0</v>
      </c>
    </row>
    <row r="16" spans="1:22" x14ac:dyDescent="0.25">
      <c r="A16" s="20" t="s">
        <v>96</v>
      </c>
      <c r="B16" s="27">
        <f t="shared" si="0"/>
        <v>-0.62541806020066892</v>
      </c>
      <c r="C16" s="109">
        <v>-102</v>
      </c>
      <c r="D16" s="1">
        <v>-193</v>
      </c>
      <c r="E16" s="91">
        <v>112</v>
      </c>
      <c r="F16" s="1">
        <v>299</v>
      </c>
      <c r="G16" s="1">
        <v>79</v>
      </c>
      <c r="H16" s="1">
        <v>92</v>
      </c>
      <c r="I16" s="1">
        <v>7</v>
      </c>
      <c r="J16" s="1">
        <v>260</v>
      </c>
      <c r="K16" s="1">
        <v>5</v>
      </c>
      <c r="L16" s="70">
        <v>113</v>
      </c>
      <c r="M16" s="70">
        <v>217</v>
      </c>
      <c r="N16" s="70">
        <v>172</v>
      </c>
      <c r="O16" s="70">
        <v>562</v>
      </c>
      <c r="P16" s="70">
        <v>378</v>
      </c>
      <c r="Q16" s="70">
        <v>772</v>
      </c>
      <c r="R16" s="70">
        <v>448</v>
      </c>
      <c r="S16" s="70">
        <v>565</v>
      </c>
      <c r="T16" s="70">
        <v>286</v>
      </c>
      <c r="U16" s="1">
        <v>467</v>
      </c>
      <c r="V16" s="29">
        <v>331</v>
      </c>
    </row>
    <row r="17" spans="1:22" x14ac:dyDescent="0.25">
      <c r="A17" s="39" t="s">
        <v>87</v>
      </c>
      <c r="B17" s="27">
        <f t="shared" si="0"/>
        <v>-0.23846298737992089</v>
      </c>
      <c r="C17" s="109">
        <v>-1864</v>
      </c>
      <c r="D17" s="1">
        <v>-2524</v>
      </c>
      <c r="E17" s="91">
        <v>4043</v>
      </c>
      <c r="F17" s="1">
        <v>5309</v>
      </c>
      <c r="G17" s="1">
        <v>6112</v>
      </c>
      <c r="H17" s="1">
        <v>5047</v>
      </c>
      <c r="I17" s="1">
        <v>4534</v>
      </c>
      <c r="J17" s="1">
        <f>6907+136</f>
        <v>7043</v>
      </c>
      <c r="K17" s="1">
        <v>2691</v>
      </c>
      <c r="L17" s="70">
        <v>4922</v>
      </c>
      <c r="M17" s="70">
        <v>5343</v>
      </c>
      <c r="N17" s="70">
        <v>6777</v>
      </c>
      <c r="O17" s="70">
        <v>5660</v>
      </c>
      <c r="P17" s="70">
        <v>3144</v>
      </c>
      <c r="Q17" s="70">
        <v>3587</v>
      </c>
      <c r="R17" s="70">
        <v>1395</v>
      </c>
      <c r="S17" s="70">
        <f>99+197+1259</f>
        <v>1555</v>
      </c>
      <c r="T17" s="70">
        <v>637</v>
      </c>
      <c r="U17" s="1">
        <v>320</v>
      </c>
      <c r="V17" s="29">
        <v>100</v>
      </c>
    </row>
    <row r="18" spans="1:22" ht="13.8" thickBot="1" x14ac:dyDescent="0.3">
      <c r="A18" s="21" t="s">
        <v>59</v>
      </c>
      <c r="B18" s="27">
        <f t="shared" si="0"/>
        <v>-0.21320754716981133</v>
      </c>
      <c r="C18" s="109">
        <v>-416</v>
      </c>
      <c r="D18" s="1">
        <v>-761</v>
      </c>
      <c r="E18" s="91">
        <v>1668</v>
      </c>
      <c r="F18" s="1">
        <v>2120</v>
      </c>
      <c r="G18" s="1">
        <v>1766</v>
      </c>
      <c r="H18" s="1">
        <v>2375</v>
      </c>
      <c r="I18" s="1">
        <v>1292</v>
      </c>
      <c r="J18" s="1">
        <f>219+395+428+38+2123+45</f>
        <v>3248</v>
      </c>
      <c r="K18" s="1">
        <f>48+234+101+61</f>
        <v>444</v>
      </c>
      <c r="L18" s="70">
        <v>2259</v>
      </c>
      <c r="M18" s="70">
        <v>684</v>
      </c>
      <c r="N18" s="70">
        <v>545</v>
      </c>
      <c r="O18" s="70">
        <v>601</v>
      </c>
      <c r="P18" s="70">
        <v>243</v>
      </c>
      <c r="Q18" s="70">
        <v>392</v>
      </c>
      <c r="R18" s="70">
        <v>273</v>
      </c>
      <c r="S18" s="70">
        <v>440</v>
      </c>
      <c r="T18" s="70">
        <v>301</v>
      </c>
      <c r="U18" s="1">
        <v>406</v>
      </c>
      <c r="V18" s="29">
        <v>318</v>
      </c>
    </row>
    <row r="19" spans="1:22" ht="13.8" thickBot="1" x14ac:dyDescent="0.3">
      <c r="A19" s="23" t="s">
        <v>23</v>
      </c>
      <c r="B19" s="122">
        <f t="shared" si="0"/>
        <v>-5.232364376967228E-2</v>
      </c>
      <c r="C19" s="115">
        <v>-8193</v>
      </c>
      <c r="D19" s="43">
        <v>-9934</v>
      </c>
      <c r="E19" s="124">
        <f>SUM(E2:E18)</f>
        <v>25592</v>
      </c>
      <c r="F19" s="43">
        <f>SUM(F2:F18)</f>
        <v>27005</v>
      </c>
      <c r="G19" s="43">
        <f>SUM(G2:G18)</f>
        <v>33445</v>
      </c>
      <c r="H19" s="43">
        <f>SUM(H2:H18)</f>
        <v>31469</v>
      </c>
      <c r="I19" s="43">
        <v>28580</v>
      </c>
      <c r="J19" s="43">
        <f>SUM(J2:J18)</f>
        <v>37244</v>
      </c>
      <c r="K19" s="43">
        <f t="shared" ref="K19:P19" si="1">SUM(K2:K18)</f>
        <v>13907</v>
      </c>
      <c r="L19" s="43">
        <f t="shared" si="1"/>
        <v>30918</v>
      </c>
      <c r="M19" s="43">
        <f t="shared" si="1"/>
        <v>30382</v>
      </c>
      <c r="N19" s="43">
        <f t="shared" si="1"/>
        <v>31764</v>
      </c>
      <c r="O19" s="43">
        <f t="shared" si="1"/>
        <v>31344</v>
      </c>
      <c r="P19" s="43">
        <f t="shared" si="1"/>
        <v>30154</v>
      </c>
      <c r="Q19" s="43">
        <f t="shared" ref="Q19:V19" si="2">SUM(Q2:Q18)</f>
        <v>35087</v>
      </c>
      <c r="R19" s="43">
        <f t="shared" si="2"/>
        <v>32973</v>
      </c>
      <c r="S19" s="43">
        <f t="shared" si="2"/>
        <v>34082</v>
      </c>
      <c r="T19" s="43">
        <f t="shared" si="2"/>
        <v>29195</v>
      </c>
      <c r="U19" s="43">
        <f t="shared" si="2"/>
        <v>31751</v>
      </c>
      <c r="V19" s="79">
        <f t="shared" si="2"/>
        <v>31042</v>
      </c>
    </row>
    <row r="20" spans="1:22" x14ac:dyDescent="0.25">
      <c r="B20" s="36" t="str">
        <f t="shared" si="0"/>
        <v/>
      </c>
      <c r="C20" s="36"/>
      <c r="D20" s="36"/>
      <c r="E20" s="36"/>
      <c r="F20" s="36"/>
      <c r="G20" s="36"/>
      <c r="H20" s="36"/>
      <c r="I20" s="36"/>
      <c r="J20" s="36"/>
      <c r="K20" s="36"/>
    </row>
    <row r="21" spans="1:22" ht="13.8" thickBot="1" x14ac:dyDescent="0.3">
      <c r="B21" s="36" t="str">
        <f t="shared" si="0"/>
        <v/>
      </c>
      <c r="C21" s="36"/>
      <c r="D21" s="36"/>
      <c r="E21" s="36"/>
      <c r="F21" s="36"/>
      <c r="G21" s="36"/>
      <c r="H21" s="36"/>
      <c r="I21" s="36"/>
      <c r="J21" s="36"/>
      <c r="K21" s="36"/>
    </row>
    <row r="22" spans="1:22" ht="13.8" thickBot="1" x14ac:dyDescent="0.3">
      <c r="A22" s="23" t="s">
        <v>25</v>
      </c>
      <c r="B22" s="24" t="s">
        <v>182</v>
      </c>
      <c r="C22" s="125" t="s">
        <v>183</v>
      </c>
      <c r="D22" s="69" t="s">
        <v>178</v>
      </c>
      <c r="E22" s="127">
        <v>45383</v>
      </c>
      <c r="F22" s="101">
        <v>45017</v>
      </c>
      <c r="G22" s="101">
        <v>44652</v>
      </c>
      <c r="H22" s="101">
        <v>44287</v>
      </c>
      <c r="I22" s="101">
        <v>43922</v>
      </c>
      <c r="J22" s="101">
        <v>43556</v>
      </c>
      <c r="K22" s="101">
        <v>43191</v>
      </c>
      <c r="L22" s="25">
        <v>42826</v>
      </c>
      <c r="M22" s="25">
        <v>42461</v>
      </c>
      <c r="N22" s="25">
        <v>42095</v>
      </c>
      <c r="O22" s="25">
        <v>41730</v>
      </c>
      <c r="P22" s="25">
        <v>41365</v>
      </c>
      <c r="Q22" s="25">
        <v>41000</v>
      </c>
      <c r="R22" s="25">
        <v>40634</v>
      </c>
      <c r="S22" s="25">
        <v>40269</v>
      </c>
      <c r="T22" s="25">
        <v>39904</v>
      </c>
      <c r="U22" s="25">
        <v>39539</v>
      </c>
      <c r="V22" s="26">
        <v>39173</v>
      </c>
    </row>
    <row r="23" spans="1:22" x14ac:dyDescent="0.25">
      <c r="A23" s="20" t="s">
        <v>116</v>
      </c>
      <c r="B23" s="27">
        <f t="shared" ref="B23:B31" si="3">IFERROR(((E23-F23)/F23),"")</f>
        <v>2.2903225806451615</v>
      </c>
      <c r="C23" s="109">
        <v>-1002</v>
      </c>
      <c r="D23" s="1">
        <v>-1408</v>
      </c>
      <c r="E23" s="91">
        <v>204</v>
      </c>
      <c r="F23" s="1">
        <v>62</v>
      </c>
      <c r="G23" s="1">
        <v>709</v>
      </c>
      <c r="H23" s="1">
        <v>1556</v>
      </c>
      <c r="I23" s="1">
        <v>2364</v>
      </c>
      <c r="J23" s="1">
        <v>1904</v>
      </c>
      <c r="K23" s="1">
        <v>0</v>
      </c>
      <c r="L23" s="1">
        <v>298</v>
      </c>
      <c r="M23" s="1">
        <v>233</v>
      </c>
      <c r="N23" s="1">
        <v>1422</v>
      </c>
      <c r="O23" s="1">
        <v>715</v>
      </c>
      <c r="P23" s="1">
        <v>26</v>
      </c>
      <c r="Q23" s="1">
        <v>1148</v>
      </c>
      <c r="R23" s="1">
        <v>75</v>
      </c>
      <c r="S23" s="1">
        <v>714</v>
      </c>
      <c r="T23" s="1">
        <v>0</v>
      </c>
      <c r="U23" s="1">
        <v>330</v>
      </c>
      <c r="V23" s="29">
        <v>11</v>
      </c>
    </row>
    <row r="24" spans="1:22" x14ac:dyDescent="0.25">
      <c r="A24" s="20" t="s">
        <v>7</v>
      </c>
      <c r="B24" s="27" t="str">
        <f t="shared" si="3"/>
        <v/>
      </c>
      <c r="C24" s="109">
        <v>1</v>
      </c>
      <c r="D24" s="1">
        <v>-13</v>
      </c>
      <c r="E24" s="91">
        <v>1</v>
      </c>
      <c r="F24" s="1">
        <v>0</v>
      </c>
      <c r="G24" s="1"/>
      <c r="H24" s="1">
        <v>10</v>
      </c>
      <c r="I24" s="1">
        <v>40</v>
      </c>
      <c r="J24" s="1">
        <v>24</v>
      </c>
      <c r="K24" s="1">
        <v>0</v>
      </c>
      <c r="L24" s="1">
        <v>64</v>
      </c>
      <c r="M24" s="1">
        <v>0</v>
      </c>
      <c r="N24" s="1">
        <v>47</v>
      </c>
      <c r="O24" s="1">
        <v>2</v>
      </c>
      <c r="P24" s="1">
        <v>0</v>
      </c>
      <c r="Q24" s="1">
        <v>1030</v>
      </c>
      <c r="R24" s="1">
        <v>2</v>
      </c>
      <c r="S24" s="1">
        <v>542</v>
      </c>
      <c r="T24" s="1">
        <v>0</v>
      </c>
      <c r="U24" s="1">
        <v>596</v>
      </c>
      <c r="V24" s="29">
        <v>3</v>
      </c>
    </row>
    <row r="25" spans="1:22" x14ac:dyDescent="0.25">
      <c r="A25" s="20" t="s">
        <v>117</v>
      </c>
      <c r="B25" s="27" t="str">
        <f t="shared" si="3"/>
        <v/>
      </c>
      <c r="C25" s="109">
        <v>0</v>
      </c>
      <c r="D25" s="1">
        <v>-134</v>
      </c>
      <c r="E25" s="91">
        <v>0</v>
      </c>
      <c r="F25" s="1">
        <v>0</v>
      </c>
      <c r="G25" s="1"/>
      <c r="H25" s="1">
        <v>22</v>
      </c>
      <c r="I25" s="1">
        <v>15</v>
      </c>
      <c r="J25" s="1">
        <v>6</v>
      </c>
      <c r="K25" s="1">
        <v>0</v>
      </c>
      <c r="L25" s="1">
        <v>20</v>
      </c>
      <c r="M25" s="1">
        <v>88</v>
      </c>
      <c r="N25" s="1">
        <v>55</v>
      </c>
      <c r="O25" s="1">
        <v>21</v>
      </c>
      <c r="P25" s="1">
        <v>0</v>
      </c>
      <c r="Q25" s="1">
        <v>696</v>
      </c>
      <c r="R25" s="1">
        <v>0</v>
      </c>
      <c r="S25" s="1">
        <v>310</v>
      </c>
      <c r="T25" s="1">
        <v>0</v>
      </c>
      <c r="U25" s="1">
        <v>725</v>
      </c>
      <c r="V25" s="29">
        <v>0</v>
      </c>
    </row>
    <row r="26" spans="1:22" x14ac:dyDescent="0.25">
      <c r="A26" s="39" t="s">
        <v>141</v>
      </c>
      <c r="B26" s="27" t="str">
        <f t="shared" si="3"/>
        <v/>
      </c>
      <c r="C26" s="109">
        <v>0</v>
      </c>
      <c r="D26" s="1">
        <v>0</v>
      </c>
      <c r="E26" s="91">
        <v>0</v>
      </c>
      <c r="F26" s="1">
        <v>0</v>
      </c>
      <c r="G26" s="1"/>
      <c r="H26" s="1">
        <v>0</v>
      </c>
      <c r="I26" s="1">
        <v>10</v>
      </c>
      <c r="J26" s="1"/>
      <c r="K26" s="1">
        <v>0</v>
      </c>
      <c r="L26" s="1">
        <v>0</v>
      </c>
      <c r="M26" s="1"/>
      <c r="N26" s="1"/>
      <c r="O26" s="1"/>
      <c r="P26" s="1"/>
      <c r="Q26" s="1"/>
      <c r="R26" s="1"/>
      <c r="S26" s="1"/>
      <c r="T26" s="1"/>
      <c r="U26" s="1"/>
      <c r="V26" s="29"/>
    </row>
    <row r="27" spans="1:22" ht="13.8" thickBot="1" x14ac:dyDescent="0.3">
      <c r="A27" s="20" t="s">
        <v>59</v>
      </c>
      <c r="B27" s="27">
        <f t="shared" si="3"/>
        <v>48</v>
      </c>
      <c r="C27" s="109">
        <v>-51</v>
      </c>
      <c r="D27" s="1">
        <v>-140</v>
      </c>
      <c r="E27" s="91">
        <v>49</v>
      </c>
      <c r="F27" s="1">
        <v>1</v>
      </c>
      <c r="G27" s="1">
        <v>4</v>
      </c>
      <c r="H27" s="1">
        <v>47</v>
      </c>
      <c r="I27" s="1">
        <v>30</v>
      </c>
      <c r="J27" s="1">
        <v>80</v>
      </c>
      <c r="K27" s="1">
        <v>0</v>
      </c>
      <c r="L27" s="1">
        <v>45</v>
      </c>
      <c r="M27" s="1">
        <v>35</v>
      </c>
      <c r="N27" s="1">
        <v>97</v>
      </c>
      <c r="O27" s="1">
        <v>12</v>
      </c>
      <c r="P27" s="1">
        <v>2</v>
      </c>
      <c r="Q27" s="1">
        <v>59</v>
      </c>
      <c r="R27" s="1">
        <v>2</v>
      </c>
      <c r="S27" s="1">
        <v>67</v>
      </c>
      <c r="T27" s="1">
        <v>0</v>
      </c>
      <c r="U27" s="1">
        <v>105</v>
      </c>
      <c r="V27" s="29">
        <v>19</v>
      </c>
    </row>
    <row r="28" spans="1:22" ht="13.8" thickBot="1" x14ac:dyDescent="0.3">
      <c r="A28" s="23" t="s">
        <v>23</v>
      </c>
      <c r="B28" s="122">
        <f t="shared" si="3"/>
        <v>3.0317460317460316</v>
      </c>
      <c r="C28" s="115">
        <v>-1052</v>
      </c>
      <c r="D28" s="43">
        <v>-1695</v>
      </c>
      <c r="E28" s="124">
        <f>SUM(E23:E27)</f>
        <v>254</v>
      </c>
      <c r="F28" s="43">
        <f>SUM(F23:F27)</f>
        <v>63</v>
      </c>
      <c r="G28" s="43">
        <f>SUM(G23:G27)</f>
        <v>713</v>
      </c>
      <c r="H28" s="43">
        <f>SUM(H23:H27)</f>
        <v>1635</v>
      </c>
      <c r="I28" s="43">
        <v>2459</v>
      </c>
      <c r="J28" s="43">
        <f>SUM(J23:J27)</f>
        <v>2014</v>
      </c>
      <c r="K28" s="43">
        <v>0</v>
      </c>
      <c r="L28" s="43">
        <f>SUM(L23:L27)</f>
        <v>427</v>
      </c>
      <c r="M28" s="43">
        <f>SUM(M23:M27)</f>
        <v>356</v>
      </c>
      <c r="N28" s="43">
        <f>SUM(N23:N27)</f>
        <v>1621</v>
      </c>
      <c r="O28" s="43">
        <f>SUM(O23:O27)</f>
        <v>750</v>
      </c>
      <c r="P28" s="43">
        <f>SUM(P23:P27)</f>
        <v>28</v>
      </c>
      <c r="Q28" s="43">
        <f t="shared" ref="Q28:V28" si="4">SUM(Q23:Q27)</f>
        <v>2933</v>
      </c>
      <c r="R28" s="43">
        <f t="shared" si="4"/>
        <v>79</v>
      </c>
      <c r="S28" s="43">
        <f t="shared" si="4"/>
        <v>1633</v>
      </c>
      <c r="T28" s="43">
        <f t="shared" si="4"/>
        <v>0</v>
      </c>
      <c r="U28" s="43">
        <f t="shared" si="4"/>
        <v>1756</v>
      </c>
      <c r="V28" s="79">
        <f t="shared" si="4"/>
        <v>33</v>
      </c>
    </row>
    <row r="29" spans="1:22" x14ac:dyDescent="0.25">
      <c r="B29" t="str">
        <f t="shared" si="3"/>
        <v/>
      </c>
    </row>
    <row r="30" spans="1:22" x14ac:dyDescent="0.25">
      <c r="B30" t="str">
        <f t="shared" si="3"/>
        <v/>
      </c>
    </row>
    <row r="31" spans="1:22" x14ac:dyDescent="0.25">
      <c r="B31" t="str">
        <f t="shared" si="3"/>
        <v/>
      </c>
    </row>
    <row r="35" spans="21:23" ht="17.399999999999999" x14ac:dyDescent="0.3">
      <c r="U35" s="5"/>
      <c r="V35" s="1"/>
      <c r="W35" s="1"/>
    </row>
    <row r="36" spans="21:23" ht="17.399999999999999" x14ac:dyDescent="0.3">
      <c r="U36" s="5"/>
      <c r="V36" s="1"/>
      <c r="W36" s="1"/>
    </row>
    <row r="37" spans="21:23" ht="17.399999999999999" x14ac:dyDescent="0.3">
      <c r="U37" s="5"/>
      <c r="V37" s="1"/>
      <c r="W37" s="1"/>
    </row>
    <row r="38" spans="21:23" ht="17.399999999999999" x14ac:dyDescent="0.3">
      <c r="U38" s="5"/>
      <c r="V38" s="1"/>
      <c r="W38" s="1"/>
    </row>
    <row r="39" spans="21:23" ht="17.399999999999999" x14ac:dyDescent="0.3">
      <c r="U39" s="5"/>
      <c r="V39" s="1"/>
      <c r="W39" s="1"/>
    </row>
    <row r="40" spans="21:23" ht="17.399999999999999" x14ac:dyDescent="0.3">
      <c r="U40" s="5"/>
      <c r="V40" s="1"/>
      <c r="W40" s="1"/>
    </row>
    <row r="41" spans="21:23" ht="17.399999999999999" x14ac:dyDescent="0.3">
      <c r="U41" s="5"/>
      <c r="V41" s="1"/>
      <c r="W41" s="1"/>
    </row>
    <row r="42" spans="21:23" ht="17.399999999999999" x14ac:dyDescent="0.3">
      <c r="U42" s="5"/>
      <c r="V42" s="1"/>
      <c r="W42" s="1"/>
    </row>
    <row r="43" spans="21:23" ht="17.399999999999999" x14ac:dyDescent="0.3">
      <c r="U43" s="5"/>
      <c r="V43" s="1"/>
      <c r="W43" s="1"/>
    </row>
    <row r="44" spans="21:23" ht="17.399999999999999" x14ac:dyDescent="0.3">
      <c r="U44" s="5"/>
      <c r="V44" s="1"/>
      <c r="W44" s="1"/>
    </row>
    <row r="45" spans="21:23" ht="17.399999999999999" x14ac:dyDescent="0.3">
      <c r="U45" s="6"/>
      <c r="V45" s="1"/>
      <c r="W45" s="1"/>
    </row>
    <row r="46" spans="21:23" ht="18" x14ac:dyDescent="0.35">
      <c r="U46" s="7"/>
      <c r="V46" s="2"/>
      <c r="W46" s="2"/>
    </row>
  </sheetData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33"/>
  <sheetViews>
    <sheetView zoomScaleNormal="100"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10" width="11.6640625" customWidth="1"/>
    <col min="11" max="11" width="11.109375" customWidth="1"/>
    <col min="12" max="12" width="10.77734375" customWidth="1"/>
    <col min="13" max="22" width="10.109375" bestFit="1" customWidth="1"/>
    <col min="23" max="23" width="8.77734375" customWidth="1"/>
    <col min="24" max="24" width="11" customWidth="1"/>
  </cols>
  <sheetData>
    <row r="1" spans="1:22" ht="13.8" thickBot="1" x14ac:dyDescent="0.3">
      <c r="A1" s="23" t="s">
        <v>24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5">
        <v>40269</v>
      </c>
      <c r="T1" s="25">
        <v>39904</v>
      </c>
      <c r="U1" s="25">
        <v>39539</v>
      </c>
      <c r="V1" s="26">
        <v>39173</v>
      </c>
    </row>
    <row r="2" spans="1:22" x14ac:dyDescent="0.25">
      <c r="A2" s="20" t="s">
        <v>4</v>
      </c>
      <c r="B2" s="27">
        <f t="shared" ref="B2:B10" si="0">IFERROR(((E2-F2)/F2),"")</f>
        <v>-0.97547357926221334</v>
      </c>
      <c r="C2" s="109">
        <v>-182.64542666666671</v>
      </c>
      <c r="D2" s="1">
        <v>-636</v>
      </c>
      <c r="E2" s="91">
        <v>24.6</v>
      </c>
      <c r="F2" s="1">
        <v>1003</v>
      </c>
      <c r="G2" s="1">
        <v>2069</v>
      </c>
      <c r="H2" s="1">
        <v>112</v>
      </c>
      <c r="I2" s="1">
        <v>131</v>
      </c>
      <c r="J2" s="1">
        <v>913</v>
      </c>
      <c r="K2" s="1">
        <v>58</v>
      </c>
      <c r="L2" s="37">
        <v>1082</v>
      </c>
      <c r="M2" s="37">
        <v>2244</v>
      </c>
      <c r="N2" s="37">
        <v>2148</v>
      </c>
      <c r="O2" s="1">
        <v>1000</v>
      </c>
      <c r="P2" s="1">
        <v>0</v>
      </c>
      <c r="Q2" s="1">
        <v>1000</v>
      </c>
      <c r="R2" s="1">
        <v>1000</v>
      </c>
      <c r="S2" s="1">
        <v>1000</v>
      </c>
      <c r="T2" s="1">
        <v>5000</v>
      </c>
      <c r="U2" s="1">
        <v>1000</v>
      </c>
      <c r="V2" s="29">
        <v>4000</v>
      </c>
    </row>
    <row r="3" spans="1:22" x14ac:dyDescent="0.25">
      <c r="A3" s="20" t="s">
        <v>2</v>
      </c>
      <c r="B3" s="27">
        <f t="shared" si="0"/>
        <v>-0.31593161902025574</v>
      </c>
      <c r="C3" s="109">
        <v>-7619.990682857102</v>
      </c>
      <c r="D3" s="1">
        <v>-10179</v>
      </c>
      <c r="E3" s="91">
        <v>14285.4</v>
      </c>
      <c r="F3" s="1">
        <v>20883</v>
      </c>
      <c r="G3" s="1">
        <v>28457</v>
      </c>
      <c r="H3" s="1">
        <v>10925</v>
      </c>
      <c r="I3" s="1">
        <v>32158</v>
      </c>
      <c r="J3" s="1">
        <v>16922</v>
      </c>
      <c r="K3" s="1">
        <v>12763</v>
      </c>
      <c r="L3" s="37">
        <v>28585</v>
      </c>
      <c r="M3" s="37">
        <v>32577</v>
      </c>
      <c r="N3" s="37">
        <v>36284</v>
      </c>
      <c r="O3" s="1">
        <v>28000</v>
      </c>
      <c r="P3" s="1">
        <v>21000</v>
      </c>
      <c r="Q3" s="1">
        <v>35000</v>
      </c>
      <c r="R3" s="1">
        <v>22000</v>
      </c>
      <c r="S3" s="1">
        <v>37000</v>
      </c>
      <c r="T3" s="1">
        <v>32000</v>
      </c>
      <c r="U3" s="1">
        <v>33000</v>
      </c>
      <c r="V3" s="29">
        <v>28000</v>
      </c>
    </row>
    <row r="4" spans="1:22" x14ac:dyDescent="0.25">
      <c r="A4" s="20" t="s">
        <v>3</v>
      </c>
      <c r="B4" s="27">
        <f t="shared" si="0"/>
        <v>-0.18295870360690017</v>
      </c>
      <c r="C4" s="109">
        <v>-445.40365166667016</v>
      </c>
      <c r="D4" s="1">
        <v>-238</v>
      </c>
      <c r="E4" s="91">
        <v>1563</v>
      </c>
      <c r="F4" s="1">
        <v>1913</v>
      </c>
      <c r="G4" s="1">
        <v>2346</v>
      </c>
      <c r="H4" s="1">
        <v>2752</v>
      </c>
      <c r="I4" s="1">
        <v>3307</v>
      </c>
      <c r="J4" s="1">
        <v>4511</v>
      </c>
      <c r="K4" s="1">
        <v>5054</v>
      </c>
      <c r="L4" s="37">
        <v>6566</v>
      </c>
      <c r="M4" s="37">
        <v>9155</v>
      </c>
      <c r="N4" s="37">
        <v>9508</v>
      </c>
      <c r="O4" s="1">
        <v>11000</v>
      </c>
      <c r="P4" s="1">
        <v>9000</v>
      </c>
      <c r="Q4" s="1">
        <v>9000</v>
      </c>
      <c r="R4" s="1">
        <v>8000</v>
      </c>
      <c r="S4" s="1">
        <v>10000</v>
      </c>
      <c r="T4" s="1">
        <v>12000</v>
      </c>
      <c r="U4" s="1">
        <v>11000</v>
      </c>
      <c r="V4" s="29">
        <v>12000</v>
      </c>
    </row>
    <row r="5" spans="1:22" x14ac:dyDescent="0.25">
      <c r="A5" s="20" t="s">
        <v>107</v>
      </c>
      <c r="B5" s="27">
        <f t="shared" si="0"/>
        <v>-0.18884139315317999</v>
      </c>
      <c r="C5" s="109">
        <v>-3740.6679821428988</v>
      </c>
      <c r="D5" s="1">
        <v>-5181</v>
      </c>
      <c r="E5" s="91">
        <v>21822.6</v>
      </c>
      <c r="F5" s="1">
        <v>26903</v>
      </c>
      <c r="G5" s="1">
        <v>29460</v>
      </c>
      <c r="H5" s="1">
        <v>27086</v>
      </c>
      <c r="I5" s="1">
        <v>31921</v>
      </c>
      <c r="J5" s="1">
        <v>32351</v>
      </c>
      <c r="K5" s="1">
        <v>25649</v>
      </c>
      <c r="L5" s="100">
        <v>47537</v>
      </c>
      <c r="M5" s="100">
        <v>45225</v>
      </c>
      <c r="N5" s="100">
        <v>50505</v>
      </c>
      <c r="O5" s="70">
        <v>49000</v>
      </c>
      <c r="P5" s="70">
        <v>42000</v>
      </c>
      <c r="Q5" s="70">
        <v>73000</v>
      </c>
      <c r="R5" s="70">
        <v>41000</v>
      </c>
      <c r="S5" s="70">
        <v>66000</v>
      </c>
      <c r="T5" s="70">
        <v>68000</v>
      </c>
      <c r="U5" s="1">
        <v>67000</v>
      </c>
      <c r="V5" s="29">
        <v>58000</v>
      </c>
    </row>
    <row r="6" spans="1:22" x14ac:dyDescent="0.25">
      <c r="A6" s="63" t="s">
        <v>134</v>
      </c>
      <c r="B6" s="27">
        <f t="shared" si="0"/>
        <v>-0.33499151103565361</v>
      </c>
      <c r="C6" s="109">
        <v>-4214.5999999999985</v>
      </c>
      <c r="D6" s="1">
        <v>-4181</v>
      </c>
      <c r="E6" s="91">
        <v>11750.7</v>
      </c>
      <c r="F6" s="1">
        <v>17670</v>
      </c>
      <c r="G6" s="1">
        <v>19471</v>
      </c>
      <c r="H6" s="1">
        <v>15354</v>
      </c>
      <c r="I6" s="1">
        <v>18241</v>
      </c>
      <c r="J6" s="1">
        <v>20060</v>
      </c>
      <c r="K6" s="1">
        <v>8478</v>
      </c>
      <c r="L6" s="100">
        <v>19933</v>
      </c>
      <c r="M6" s="100">
        <v>16061</v>
      </c>
      <c r="N6" s="100">
        <v>16145</v>
      </c>
      <c r="O6" s="70">
        <v>12000</v>
      </c>
      <c r="P6" s="70"/>
      <c r="Q6" s="70"/>
      <c r="R6" s="70"/>
      <c r="S6" s="70"/>
      <c r="T6" s="70"/>
      <c r="U6" s="1"/>
      <c r="V6" s="29"/>
    </row>
    <row r="7" spans="1:22" ht="13.8" thickBot="1" x14ac:dyDescent="0.3">
      <c r="A7" s="20" t="s">
        <v>59</v>
      </c>
      <c r="B7" s="27">
        <f t="shared" si="0"/>
        <v>-0.43798994974874367</v>
      </c>
      <c r="C7" s="109">
        <v>-1035.32686666667</v>
      </c>
      <c r="D7" s="1">
        <v>-1263</v>
      </c>
      <c r="E7" s="91">
        <v>559.20000000000005</v>
      </c>
      <c r="F7" s="1">
        <v>995</v>
      </c>
      <c r="G7" s="1">
        <v>1893</v>
      </c>
      <c r="H7" s="1">
        <v>3222</v>
      </c>
      <c r="I7" s="1">
        <v>3485</v>
      </c>
      <c r="J7" s="1">
        <v>3814</v>
      </c>
      <c r="K7" s="1">
        <v>3911</v>
      </c>
      <c r="L7" s="100">
        <v>4015</v>
      </c>
      <c r="M7" s="100">
        <v>3067</v>
      </c>
      <c r="N7" s="100">
        <v>4023</v>
      </c>
      <c r="O7" s="70">
        <v>5000</v>
      </c>
      <c r="P7" s="70">
        <v>12000</v>
      </c>
      <c r="Q7" s="70">
        <v>14000</v>
      </c>
      <c r="R7" s="70">
        <v>13000</v>
      </c>
      <c r="S7" s="70">
        <v>11000</v>
      </c>
      <c r="T7" s="70">
        <v>3000</v>
      </c>
      <c r="U7" s="1">
        <v>1000</v>
      </c>
      <c r="V7" s="29">
        <v>3000</v>
      </c>
    </row>
    <row r="8" spans="1:22" ht="13.8" thickBot="1" x14ac:dyDescent="0.3">
      <c r="A8" s="23" t="s">
        <v>23</v>
      </c>
      <c r="B8" s="122">
        <f t="shared" si="0"/>
        <v>-0.27911687113468941</v>
      </c>
      <c r="C8" s="115">
        <v>-17238.634610000008</v>
      </c>
      <c r="D8" s="43">
        <v>-21678</v>
      </c>
      <c r="E8" s="124">
        <f t="shared" ref="E8:N8" si="1">SUM(E2:E7)</f>
        <v>50005.5</v>
      </c>
      <c r="F8" s="43">
        <f t="shared" si="1"/>
        <v>69367</v>
      </c>
      <c r="G8" s="43">
        <f t="shared" si="1"/>
        <v>83696</v>
      </c>
      <c r="H8" s="43">
        <f t="shared" si="1"/>
        <v>59451</v>
      </c>
      <c r="I8" s="43">
        <f t="shared" si="1"/>
        <v>89243</v>
      </c>
      <c r="J8" s="43">
        <f t="shared" si="1"/>
        <v>78571</v>
      </c>
      <c r="K8" s="43">
        <f t="shared" si="1"/>
        <v>55913</v>
      </c>
      <c r="L8" s="43">
        <f t="shared" si="1"/>
        <v>107718</v>
      </c>
      <c r="M8" s="43">
        <f t="shared" si="1"/>
        <v>108329</v>
      </c>
      <c r="N8" s="43">
        <f t="shared" si="1"/>
        <v>118613</v>
      </c>
      <c r="O8" s="43">
        <f t="shared" ref="O8:V8" si="2">SUM(O2:O7)</f>
        <v>106000</v>
      </c>
      <c r="P8" s="43">
        <f t="shared" si="2"/>
        <v>84000</v>
      </c>
      <c r="Q8" s="43">
        <f t="shared" si="2"/>
        <v>132000</v>
      </c>
      <c r="R8" s="43">
        <f t="shared" si="2"/>
        <v>85000</v>
      </c>
      <c r="S8" s="43">
        <f t="shared" si="2"/>
        <v>125000</v>
      </c>
      <c r="T8" s="43">
        <f t="shared" si="2"/>
        <v>120000</v>
      </c>
      <c r="U8" s="43">
        <f t="shared" si="2"/>
        <v>113000</v>
      </c>
      <c r="V8" s="79">
        <f t="shared" si="2"/>
        <v>105000</v>
      </c>
    </row>
    <row r="9" spans="1:22" x14ac:dyDescent="0.25">
      <c r="B9" s="36" t="str">
        <f t="shared" si="0"/>
        <v/>
      </c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22" ht="13.8" thickBot="1" x14ac:dyDescent="0.3">
      <c r="B10" s="36" t="str">
        <f t="shared" si="0"/>
        <v/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22" ht="13.8" thickBot="1" x14ac:dyDescent="0.3">
      <c r="A11" s="23" t="s">
        <v>25</v>
      </c>
      <c r="B11" s="24" t="s">
        <v>182</v>
      </c>
      <c r="C11" s="125" t="s">
        <v>183</v>
      </c>
      <c r="D11" s="69" t="s">
        <v>178</v>
      </c>
      <c r="E11" s="127">
        <v>45383</v>
      </c>
      <c r="F11" s="101">
        <v>45017</v>
      </c>
      <c r="G11" s="101">
        <v>44652</v>
      </c>
      <c r="H11" s="101">
        <v>44287</v>
      </c>
      <c r="I11" s="101">
        <v>43922</v>
      </c>
      <c r="J11" s="101">
        <v>43556</v>
      </c>
      <c r="K11" s="101">
        <v>43191</v>
      </c>
      <c r="L11" s="25">
        <v>42826</v>
      </c>
      <c r="M11" s="25">
        <v>42461</v>
      </c>
      <c r="N11" s="25">
        <v>42095</v>
      </c>
      <c r="O11" s="25">
        <v>41730</v>
      </c>
      <c r="P11" s="25">
        <v>41365</v>
      </c>
      <c r="Q11" s="25">
        <v>41000</v>
      </c>
      <c r="R11" s="25">
        <v>40634</v>
      </c>
      <c r="S11" s="25">
        <v>40269</v>
      </c>
      <c r="T11" s="25">
        <v>39904</v>
      </c>
      <c r="U11" s="25">
        <v>39539</v>
      </c>
      <c r="V11" s="26">
        <v>39173</v>
      </c>
    </row>
    <row r="12" spans="1:22" x14ac:dyDescent="0.25">
      <c r="A12" s="20" t="s">
        <v>7</v>
      </c>
      <c r="B12" s="27">
        <f t="shared" ref="B12:B31" si="3">IFERROR(((E12-F12)/F12),"")</f>
        <v>0.11979110873058385</v>
      </c>
      <c r="C12" s="109">
        <v>-26832.779735141012</v>
      </c>
      <c r="D12" s="1">
        <v>-29316</v>
      </c>
      <c r="E12" s="91">
        <v>108713.8</v>
      </c>
      <c r="F12" s="1">
        <v>97084</v>
      </c>
      <c r="G12" s="1">
        <v>88411</v>
      </c>
      <c r="H12" s="1">
        <v>104075</v>
      </c>
      <c r="I12" s="1">
        <v>88793</v>
      </c>
      <c r="J12" s="1">
        <v>103813</v>
      </c>
      <c r="K12" s="1">
        <v>90947</v>
      </c>
      <c r="L12" s="37">
        <v>97997</v>
      </c>
      <c r="M12" s="37">
        <v>99846</v>
      </c>
      <c r="N12" s="37">
        <v>91241</v>
      </c>
      <c r="O12" s="1">
        <v>80000</v>
      </c>
      <c r="P12" s="1">
        <v>42000</v>
      </c>
      <c r="Q12" s="1">
        <v>75000</v>
      </c>
      <c r="R12" s="1">
        <v>59000</v>
      </c>
      <c r="S12" s="1">
        <v>64000</v>
      </c>
      <c r="T12" s="1">
        <v>22000</v>
      </c>
      <c r="U12" s="1">
        <v>41000</v>
      </c>
      <c r="V12" s="29">
        <v>47000</v>
      </c>
    </row>
    <row r="13" spans="1:22" x14ac:dyDescent="0.25">
      <c r="A13" s="20" t="s">
        <v>100</v>
      </c>
      <c r="B13" s="27" t="str">
        <f t="shared" si="3"/>
        <v/>
      </c>
      <c r="C13" s="109">
        <v>-100.72922063492101</v>
      </c>
      <c r="D13" s="1">
        <v>-170</v>
      </c>
      <c r="E13" s="91">
        <v>0</v>
      </c>
      <c r="F13" s="1">
        <v>0</v>
      </c>
      <c r="G13" s="1">
        <v>0</v>
      </c>
      <c r="H13" s="1">
        <v>0</v>
      </c>
      <c r="I13" s="1"/>
      <c r="J13" s="1">
        <v>0</v>
      </c>
      <c r="K13" s="1">
        <v>0</v>
      </c>
      <c r="L13" s="37">
        <v>35</v>
      </c>
      <c r="M13" s="37">
        <v>20</v>
      </c>
      <c r="N13" s="37">
        <v>274</v>
      </c>
      <c r="O13" s="1">
        <v>200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29">
        <v>0</v>
      </c>
    </row>
    <row r="14" spans="1:22" ht="13.8" thickBot="1" x14ac:dyDescent="0.3">
      <c r="A14" s="20" t="s">
        <v>6</v>
      </c>
      <c r="B14" s="27">
        <f t="shared" si="3"/>
        <v>1.7790387182910608E-2</v>
      </c>
      <c r="C14" s="109">
        <v>-2029.1434757703091</v>
      </c>
      <c r="D14" s="1">
        <v>-5109</v>
      </c>
      <c r="E14" s="91">
        <v>3049.3</v>
      </c>
      <c r="F14" s="1">
        <v>2996</v>
      </c>
      <c r="G14" s="1">
        <v>3016</v>
      </c>
      <c r="H14" s="1">
        <v>2258</v>
      </c>
      <c r="I14" s="1">
        <v>2508</v>
      </c>
      <c r="J14" s="1">
        <v>3814</v>
      </c>
      <c r="K14" s="1">
        <v>1484</v>
      </c>
      <c r="L14" s="37">
        <v>1837</v>
      </c>
      <c r="M14" s="37">
        <v>1503</v>
      </c>
      <c r="N14" s="37">
        <v>748</v>
      </c>
      <c r="O14" s="1">
        <v>4000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29">
        <v>0</v>
      </c>
    </row>
    <row r="15" spans="1:22" ht="13.8" thickBot="1" x14ac:dyDescent="0.3">
      <c r="A15" s="23" t="s">
        <v>23</v>
      </c>
      <c r="B15" s="122">
        <f t="shared" si="3"/>
        <v>0.1167376099120704</v>
      </c>
      <c r="C15" s="115">
        <v>-28962.652431546216</v>
      </c>
      <c r="D15" s="43">
        <v>-34595</v>
      </c>
      <c r="E15" s="124">
        <f t="shared" ref="E15:J15" si="4">SUM(E12:E14)</f>
        <v>111763.1</v>
      </c>
      <c r="F15" s="43">
        <f t="shared" si="4"/>
        <v>100080</v>
      </c>
      <c r="G15" s="43">
        <f t="shared" si="4"/>
        <v>91427</v>
      </c>
      <c r="H15" s="43">
        <f t="shared" si="4"/>
        <v>106333</v>
      </c>
      <c r="I15" s="43">
        <f t="shared" si="4"/>
        <v>91301</v>
      </c>
      <c r="J15" s="43">
        <f t="shared" si="4"/>
        <v>107627</v>
      </c>
      <c r="K15" s="43">
        <f t="shared" ref="K15:P15" si="5">SUM(K12:K14)</f>
        <v>92431</v>
      </c>
      <c r="L15" s="43">
        <f t="shared" si="5"/>
        <v>99869</v>
      </c>
      <c r="M15" s="43">
        <f t="shared" si="5"/>
        <v>101369</v>
      </c>
      <c r="N15" s="43">
        <f t="shared" si="5"/>
        <v>92263</v>
      </c>
      <c r="O15" s="43">
        <f t="shared" si="5"/>
        <v>84200</v>
      </c>
      <c r="P15" s="43">
        <f t="shared" si="5"/>
        <v>42000</v>
      </c>
      <c r="Q15" s="43">
        <f t="shared" ref="Q15:V15" si="6">SUM(Q12:Q14)</f>
        <v>75000</v>
      </c>
      <c r="R15" s="43">
        <f t="shared" si="6"/>
        <v>59000</v>
      </c>
      <c r="S15" s="43">
        <f t="shared" si="6"/>
        <v>64000</v>
      </c>
      <c r="T15" s="43">
        <f t="shared" si="6"/>
        <v>22000</v>
      </c>
      <c r="U15" s="43">
        <f t="shared" si="6"/>
        <v>41000</v>
      </c>
      <c r="V15" s="79">
        <f t="shared" si="6"/>
        <v>47000</v>
      </c>
    </row>
    <row r="16" spans="1:22" x14ac:dyDescent="0.25">
      <c r="B16" t="str">
        <f t="shared" si="3"/>
        <v/>
      </c>
    </row>
    <row r="17" spans="2:23" x14ac:dyDescent="0.25">
      <c r="B17" t="str">
        <f t="shared" si="3"/>
        <v/>
      </c>
    </row>
    <row r="18" spans="2:23" x14ac:dyDescent="0.25">
      <c r="B18" t="str">
        <f t="shared" si="3"/>
        <v/>
      </c>
    </row>
    <row r="19" spans="2:23" x14ac:dyDescent="0.25">
      <c r="B19" t="str">
        <f t="shared" si="3"/>
        <v/>
      </c>
    </row>
    <row r="20" spans="2:23" x14ac:dyDescent="0.25">
      <c r="B20" t="str">
        <f t="shared" si="3"/>
        <v/>
      </c>
    </row>
    <row r="21" spans="2:23" x14ac:dyDescent="0.25">
      <c r="B21" t="str">
        <f t="shared" si="3"/>
        <v/>
      </c>
    </row>
    <row r="22" spans="2:23" ht="17.399999999999999" x14ac:dyDescent="0.3">
      <c r="B22" t="str">
        <f t="shared" si="3"/>
        <v/>
      </c>
      <c r="U22" s="5"/>
      <c r="V22" s="1"/>
      <c r="W22" s="1"/>
    </row>
    <row r="23" spans="2:23" ht="17.399999999999999" x14ac:dyDescent="0.3">
      <c r="B23" t="str">
        <f t="shared" si="3"/>
        <v/>
      </c>
      <c r="U23" s="5"/>
      <c r="V23" s="1"/>
      <c r="W23" s="1"/>
    </row>
    <row r="24" spans="2:23" ht="17.399999999999999" x14ac:dyDescent="0.3">
      <c r="B24" t="str">
        <f t="shared" si="3"/>
        <v/>
      </c>
      <c r="U24" s="5"/>
      <c r="V24" s="1"/>
      <c r="W24" s="1"/>
    </row>
    <row r="25" spans="2:23" ht="17.399999999999999" x14ac:dyDescent="0.3">
      <c r="B25" t="str">
        <f t="shared" si="3"/>
        <v/>
      </c>
      <c r="U25" s="5"/>
      <c r="V25" s="1"/>
      <c r="W25" s="1"/>
    </row>
    <row r="26" spans="2:23" ht="17.399999999999999" x14ac:dyDescent="0.3">
      <c r="B26" t="str">
        <f t="shared" si="3"/>
        <v/>
      </c>
      <c r="U26" s="5"/>
      <c r="V26" s="1"/>
      <c r="W26" s="1"/>
    </row>
    <row r="27" spans="2:23" ht="17.399999999999999" x14ac:dyDescent="0.3">
      <c r="B27" t="str">
        <f t="shared" si="3"/>
        <v/>
      </c>
      <c r="U27" s="5"/>
      <c r="V27" s="1"/>
      <c r="W27" s="1"/>
    </row>
    <row r="28" spans="2:23" ht="17.399999999999999" x14ac:dyDescent="0.3">
      <c r="B28" t="str">
        <f t="shared" si="3"/>
        <v/>
      </c>
      <c r="U28" s="5"/>
      <c r="V28" s="1"/>
      <c r="W28" s="1"/>
    </row>
    <row r="29" spans="2:23" ht="17.399999999999999" x14ac:dyDescent="0.3">
      <c r="B29" t="str">
        <f t="shared" si="3"/>
        <v/>
      </c>
      <c r="U29" s="5"/>
      <c r="V29" s="1"/>
      <c r="W29" s="1"/>
    </row>
    <row r="30" spans="2:23" ht="17.399999999999999" x14ac:dyDescent="0.3">
      <c r="B30" t="str">
        <f t="shared" si="3"/>
        <v/>
      </c>
      <c r="U30" s="5"/>
      <c r="V30" s="1"/>
      <c r="W30" s="1"/>
    </row>
    <row r="31" spans="2:23" ht="17.399999999999999" x14ac:dyDescent="0.3">
      <c r="B31" t="str">
        <f t="shared" si="3"/>
        <v/>
      </c>
      <c r="U31" s="5"/>
      <c r="V31" s="1"/>
      <c r="W31" s="1"/>
    </row>
    <row r="32" spans="2:23" ht="17.399999999999999" x14ac:dyDescent="0.3">
      <c r="U32" s="6"/>
      <c r="V32" s="1"/>
      <c r="W32" s="1"/>
    </row>
    <row r="33" spans="21:23" ht="18" x14ac:dyDescent="0.35">
      <c r="U33" s="7"/>
      <c r="V33" s="2"/>
      <c r="W33" s="2"/>
    </row>
  </sheetData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31"/>
  <sheetViews>
    <sheetView zoomScaleNormal="100" workbookViewId="0"/>
  </sheetViews>
  <sheetFormatPr defaultColWidth="8.77734375" defaultRowHeight="13.2" x14ac:dyDescent="0.25"/>
  <cols>
    <col min="1" max="1" width="24.77734375" customWidth="1"/>
    <col min="2" max="2" width="10.77734375" customWidth="1"/>
    <col min="3" max="4" width="11.6640625" bestFit="1" customWidth="1"/>
    <col min="5" max="11" width="11.6640625" customWidth="1"/>
    <col min="12" max="12" width="10.77734375" customWidth="1"/>
    <col min="13" max="22" width="10.109375" bestFit="1" customWidth="1"/>
  </cols>
  <sheetData>
    <row r="1" spans="1:23" ht="13.8" thickBot="1" x14ac:dyDescent="0.3">
      <c r="A1" s="38" t="s">
        <v>91</v>
      </c>
      <c r="B1" s="24" t="s">
        <v>182</v>
      </c>
      <c r="C1" s="125" t="s">
        <v>183</v>
      </c>
      <c r="D1" s="69" t="s">
        <v>178</v>
      </c>
      <c r="E1" s="127">
        <v>45383</v>
      </c>
      <c r="F1" s="101">
        <v>45017</v>
      </c>
      <c r="G1" s="101">
        <v>44652</v>
      </c>
      <c r="H1" s="101">
        <v>44287</v>
      </c>
      <c r="I1" s="101">
        <v>43922</v>
      </c>
      <c r="J1" s="101">
        <v>43556</v>
      </c>
      <c r="K1" s="101">
        <v>43191</v>
      </c>
      <c r="L1" s="25">
        <v>42826</v>
      </c>
      <c r="M1" s="25">
        <v>42461</v>
      </c>
      <c r="N1" s="25">
        <v>42095</v>
      </c>
      <c r="O1" s="25">
        <v>41730</v>
      </c>
      <c r="P1" s="25">
        <v>41365</v>
      </c>
      <c r="Q1" s="25">
        <v>41000</v>
      </c>
      <c r="R1" s="25">
        <v>40634</v>
      </c>
      <c r="S1" s="25">
        <v>40269</v>
      </c>
      <c r="T1" s="25">
        <v>39904</v>
      </c>
      <c r="U1" s="25">
        <v>39539</v>
      </c>
      <c r="V1" s="26">
        <v>39173</v>
      </c>
    </row>
    <row r="2" spans="1:23" x14ac:dyDescent="0.25">
      <c r="A2" s="39" t="s">
        <v>11</v>
      </c>
      <c r="B2" s="44">
        <f t="shared" ref="B2:B14" si="0">IFERROR(((E2-F2)/F2),"")</f>
        <v>-0.55849101511364985</v>
      </c>
      <c r="C2" s="110">
        <v>-3724</v>
      </c>
      <c r="D2" s="37">
        <v>-4529</v>
      </c>
      <c r="E2" s="123">
        <v>3710</v>
      </c>
      <c r="F2" s="37">
        <v>8403</v>
      </c>
      <c r="G2" s="37">
        <v>8887</v>
      </c>
      <c r="H2" s="37">
        <v>5511</v>
      </c>
      <c r="I2" s="37">
        <v>6131</v>
      </c>
      <c r="J2" s="37">
        <v>5088</v>
      </c>
      <c r="K2" s="37">
        <v>1622</v>
      </c>
      <c r="L2" s="37">
        <v>5410</v>
      </c>
      <c r="M2" s="37">
        <v>4950</v>
      </c>
      <c r="N2" s="37">
        <v>2700</v>
      </c>
      <c r="O2" s="37">
        <v>3800</v>
      </c>
      <c r="P2" s="37">
        <v>300</v>
      </c>
      <c r="Q2" s="37">
        <v>3200</v>
      </c>
      <c r="R2" s="37">
        <v>2000</v>
      </c>
      <c r="S2" s="37">
        <v>1800</v>
      </c>
      <c r="T2" s="37">
        <v>1000</v>
      </c>
      <c r="U2" s="37">
        <v>900</v>
      </c>
      <c r="V2" s="59">
        <v>0</v>
      </c>
    </row>
    <row r="3" spans="1:23" x14ac:dyDescent="0.25">
      <c r="A3" s="39" t="s">
        <v>36</v>
      </c>
      <c r="B3" s="44">
        <f t="shared" si="0"/>
        <v>-0.69919497349302961</v>
      </c>
      <c r="C3" s="110">
        <v>-592</v>
      </c>
      <c r="D3" s="37">
        <v>-782</v>
      </c>
      <c r="E3" s="123">
        <v>1532</v>
      </c>
      <c r="F3" s="37">
        <v>5093</v>
      </c>
      <c r="G3" s="37">
        <v>1922</v>
      </c>
      <c r="H3" s="37">
        <v>4489</v>
      </c>
      <c r="I3" s="37">
        <v>2005</v>
      </c>
      <c r="J3" s="37">
        <v>19800</v>
      </c>
      <c r="K3" s="37">
        <v>18000</v>
      </c>
      <c r="L3" s="37">
        <v>19850</v>
      </c>
      <c r="M3" s="37">
        <v>16000</v>
      </c>
      <c r="N3" s="37">
        <v>29000</v>
      </c>
      <c r="O3" s="37">
        <v>26000</v>
      </c>
      <c r="P3" s="37">
        <v>10000</v>
      </c>
      <c r="Q3" s="37">
        <v>25000</v>
      </c>
      <c r="R3" s="37">
        <v>26000</v>
      </c>
      <c r="S3" s="37">
        <v>26000</v>
      </c>
      <c r="T3" s="37">
        <v>28000</v>
      </c>
      <c r="U3" s="37">
        <v>20000</v>
      </c>
      <c r="V3" s="59">
        <v>25000</v>
      </c>
    </row>
    <row r="4" spans="1:23" x14ac:dyDescent="0.25">
      <c r="A4" s="39" t="s">
        <v>29</v>
      </c>
      <c r="B4" s="44">
        <f t="shared" si="0"/>
        <v>-0.88114609126282273</v>
      </c>
      <c r="C4" s="110">
        <v>-567</v>
      </c>
      <c r="D4" s="37">
        <v>-490</v>
      </c>
      <c r="E4" s="123">
        <v>336</v>
      </c>
      <c r="F4" s="37">
        <v>2827</v>
      </c>
      <c r="G4" s="37">
        <v>1070</v>
      </c>
      <c r="H4" s="37">
        <v>2109</v>
      </c>
      <c r="I4" s="37">
        <v>647</v>
      </c>
      <c r="J4" s="37">
        <v>1314</v>
      </c>
      <c r="K4" s="37">
        <v>256</v>
      </c>
      <c r="L4" s="37">
        <v>0</v>
      </c>
      <c r="M4" s="37">
        <v>1100</v>
      </c>
      <c r="N4" s="37">
        <v>300</v>
      </c>
      <c r="O4" s="37">
        <v>300</v>
      </c>
      <c r="P4" s="37">
        <v>0</v>
      </c>
      <c r="Q4" s="37">
        <v>0</v>
      </c>
      <c r="R4" s="37">
        <v>0</v>
      </c>
      <c r="S4" s="37">
        <v>200</v>
      </c>
      <c r="T4" s="37">
        <v>0</v>
      </c>
      <c r="U4" s="37">
        <v>0</v>
      </c>
      <c r="V4" s="59">
        <v>0</v>
      </c>
    </row>
    <row r="5" spans="1:23" x14ac:dyDescent="0.25">
      <c r="A5" s="39" t="s">
        <v>5</v>
      </c>
      <c r="B5" s="44">
        <f t="shared" si="0"/>
        <v>-1</v>
      </c>
      <c r="C5" s="110">
        <v>0</v>
      </c>
      <c r="D5" s="37">
        <v>-782</v>
      </c>
      <c r="E5" s="123"/>
      <c r="F5" s="37">
        <v>433</v>
      </c>
      <c r="G5" s="37">
        <v>111</v>
      </c>
      <c r="H5" s="37">
        <v>92</v>
      </c>
      <c r="I5" s="37">
        <v>142</v>
      </c>
      <c r="J5" s="37">
        <v>316</v>
      </c>
      <c r="K5" s="37">
        <v>53</v>
      </c>
      <c r="L5" s="37">
        <v>210</v>
      </c>
      <c r="M5" s="37">
        <v>1700</v>
      </c>
      <c r="N5" s="37">
        <v>0</v>
      </c>
      <c r="O5" s="37">
        <v>1900</v>
      </c>
      <c r="P5" s="37">
        <v>100</v>
      </c>
      <c r="Q5" s="37">
        <v>1400</v>
      </c>
      <c r="R5" s="37">
        <v>1000</v>
      </c>
      <c r="S5" s="37">
        <v>1200</v>
      </c>
      <c r="T5" s="37">
        <v>700</v>
      </c>
      <c r="U5" s="37">
        <v>1000</v>
      </c>
      <c r="V5" s="59">
        <v>0</v>
      </c>
    </row>
    <row r="6" spans="1:23" x14ac:dyDescent="0.25">
      <c r="A6" s="39" t="s">
        <v>9</v>
      </c>
      <c r="B6" s="44">
        <f t="shared" si="0"/>
        <v>-0.51776669523883734</v>
      </c>
      <c r="C6" s="110">
        <v>-10296</v>
      </c>
      <c r="D6" s="37">
        <v>-9600</v>
      </c>
      <c r="E6" s="123">
        <v>12377</v>
      </c>
      <c r="F6" s="37">
        <v>25666</v>
      </c>
      <c r="G6" s="37">
        <v>16171</v>
      </c>
      <c r="H6" s="37">
        <v>10974</v>
      </c>
      <c r="I6" s="37">
        <v>14028</v>
      </c>
      <c r="J6" s="37">
        <v>10885</v>
      </c>
      <c r="K6" s="37">
        <v>6540</v>
      </c>
      <c r="L6" s="37">
        <v>5540</v>
      </c>
      <c r="M6" s="37">
        <v>10100</v>
      </c>
      <c r="N6" s="37">
        <v>1400</v>
      </c>
      <c r="O6" s="37">
        <v>3700</v>
      </c>
      <c r="P6" s="37">
        <v>1500</v>
      </c>
      <c r="Q6" s="37">
        <v>2200</v>
      </c>
      <c r="R6" s="37">
        <v>1000</v>
      </c>
      <c r="S6" s="37">
        <v>800</v>
      </c>
      <c r="T6" s="37">
        <v>100</v>
      </c>
      <c r="U6" s="37">
        <v>0</v>
      </c>
      <c r="V6" s="59">
        <v>0</v>
      </c>
    </row>
    <row r="7" spans="1:23" x14ac:dyDescent="0.25">
      <c r="A7" s="39" t="s">
        <v>27</v>
      </c>
      <c r="B7" s="44" t="str">
        <f t="shared" si="0"/>
        <v/>
      </c>
      <c r="C7" s="110">
        <v>0</v>
      </c>
      <c r="D7" s="37">
        <v>0</v>
      </c>
      <c r="E7" s="123"/>
      <c r="F7" s="37"/>
      <c r="G7" s="37"/>
      <c r="H7" s="37"/>
      <c r="I7" s="37"/>
      <c r="J7" s="37">
        <v>84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59">
        <v>0</v>
      </c>
      <c r="W7" s="1"/>
    </row>
    <row r="8" spans="1:23" x14ac:dyDescent="0.25">
      <c r="A8" s="39" t="s">
        <v>26</v>
      </c>
      <c r="B8" s="44" t="str">
        <f t="shared" si="0"/>
        <v/>
      </c>
      <c r="C8" s="110">
        <v>0</v>
      </c>
      <c r="D8" s="37">
        <v>0</v>
      </c>
      <c r="E8" s="123"/>
      <c r="F8" s="37"/>
      <c r="G8" s="37"/>
      <c r="H8" s="37"/>
      <c r="I8" s="37"/>
      <c r="J8" s="37"/>
      <c r="K8" s="37">
        <v>256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500</v>
      </c>
      <c r="S8" s="37">
        <v>700</v>
      </c>
      <c r="T8" s="37">
        <v>500</v>
      </c>
      <c r="U8" s="37">
        <v>0</v>
      </c>
      <c r="V8" s="59">
        <v>0</v>
      </c>
    </row>
    <row r="9" spans="1:23" x14ac:dyDescent="0.25">
      <c r="A9" s="39" t="s">
        <v>35</v>
      </c>
      <c r="B9" s="44" t="str">
        <f t="shared" si="0"/>
        <v/>
      </c>
      <c r="C9" s="110">
        <v>0</v>
      </c>
      <c r="D9" s="37">
        <v>0</v>
      </c>
      <c r="E9" s="123"/>
      <c r="F9" s="37"/>
      <c r="G9" s="37"/>
      <c r="H9" s="37"/>
      <c r="I9" s="37"/>
      <c r="J9" s="37"/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59">
        <v>0</v>
      </c>
    </row>
    <row r="10" spans="1:23" x14ac:dyDescent="0.25">
      <c r="A10" s="39" t="s">
        <v>134</v>
      </c>
      <c r="B10" s="44">
        <f t="shared" si="0"/>
        <v>-0.40464055793991416</v>
      </c>
      <c r="C10" s="110">
        <v>-2241</v>
      </c>
      <c r="D10" s="37">
        <v>-1909</v>
      </c>
      <c r="E10" s="123">
        <v>4439</v>
      </c>
      <c r="F10" s="37">
        <v>7456</v>
      </c>
      <c r="G10" s="37">
        <v>4746</v>
      </c>
      <c r="H10" s="37"/>
      <c r="I10" s="37"/>
      <c r="J10" s="37">
        <v>2732</v>
      </c>
      <c r="K10" s="37">
        <v>1359</v>
      </c>
      <c r="L10" s="37">
        <v>0</v>
      </c>
      <c r="M10" s="37">
        <v>3200</v>
      </c>
      <c r="N10" s="37">
        <v>2000</v>
      </c>
      <c r="O10" s="37">
        <v>1500</v>
      </c>
      <c r="P10" s="37">
        <v>500</v>
      </c>
      <c r="Q10" s="37">
        <v>300</v>
      </c>
      <c r="R10" s="37">
        <v>1000</v>
      </c>
      <c r="S10" s="37">
        <v>800</v>
      </c>
      <c r="T10" s="37"/>
      <c r="U10" s="37">
        <v>600</v>
      </c>
      <c r="V10" s="59">
        <v>0</v>
      </c>
    </row>
    <row r="11" spans="1:23" ht="13.8" thickBot="1" x14ac:dyDescent="0.3">
      <c r="A11" s="39" t="s">
        <v>6</v>
      </c>
      <c r="B11" s="44">
        <f t="shared" si="0"/>
        <v>-0.84671532846715325</v>
      </c>
      <c r="C11" s="110">
        <v>-404</v>
      </c>
      <c r="D11" s="37">
        <v>-341</v>
      </c>
      <c r="E11" s="123">
        <v>84</v>
      </c>
      <c r="F11" s="37">
        <v>548</v>
      </c>
      <c r="G11" s="37">
        <v>282</v>
      </c>
      <c r="H11" s="37"/>
      <c r="I11" s="37"/>
      <c r="J11" s="37">
        <v>974</v>
      </c>
      <c r="K11" s="37">
        <v>0</v>
      </c>
      <c r="L11" s="37">
        <v>2410</v>
      </c>
      <c r="M11" s="37">
        <v>0</v>
      </c>
      <c r="N11" s="37">
        <v>0</v>
      </c>
      <c r="O11" s="37">
        <v>300</v>
      </c>
      <c r="P11" s="37">
        <v>0</v>
      </c>
      <c r="Q11" s="37">
        <v>0</v>
      </c>
      <c r="R11" s="37">
        <v>0</v>
      </c>
      <c r="S11" s="37">
        <v>0</v>
      </c>
      <c r="T11" s="37">
        <v>700</v>
      </c>
      <c r="U11" s="37">
        <v>0</v>
      </c>
      <c r="V11" s="59">
        <v>0</v>
      </c>
    </row>
    <row r="12" spans="1:23" s="8" customFormat="1" ht="13.8" thickBot="1" x14ac:dyDescent="0.3">
      <c r="A12" s="38" t="s">
        <v>92</v>
      </c>
      <c r="B12" s="128">
        <f t="shared" si="0"/>
        <v>-0.55423789315035898</v>
      </c>
      <c r="C12" s="115">
        <v>-17824</v>
      </c>
      <c r="D12" s="43">
        <v>-18433</v>
      </c>
      <c r="E12" s="124">
        <f>SUM(E2:E11)</f>
        <v>22478</v>
      </c>
      <c r="F12" s="43">
        <f>SUM(F2:F11)</f>
        <v>50426</v>
      </c>
      <c r="G12" s="43">
        <f t="shared" ref="G12:M12" si="1">SUM(G2:G11)</f>
        <v>33189</v>
      </c>
      <c r="H12" s="43">
        <f t="shared" si="1"/>
        <v>23175</v>
      </c>
      <c r="I12" s="43">
        <f t="shared" si="1"/>
        <v>22953</v>
      </c>
      <c r="J12" s="43">
        <f t="shared" si="1"/>
        <v>41193</v>
      </c>
      <c r="K12" s="43">
        <f t="shared" si="1"/>
        <v>28086</v>
      </c>
      <c r="L12" s="43">
        <f t="shared" si="1"/>
        <v>33420</v>
      </c>
      <c r="M12" s="43">
        <f t="shared" si="1"/>
        <v>37050</v>
      </c>
      <c r="N12" s="43">
        <v>35400</v>
      </c>
      <c r="O12" s="43">
        <f>SUM(O2:O11)</f>
        <v>37500</v>
      </c>
      <c r="P12" s="43">
        <f>SUM(P2:P11)</f>
        <v>12400</v>
      </c>
      <c r="Q12" s="43">
        <f t="shared" ref="Q12:V12" si="2">SUM(Q2:Q11)</f>
        <v>32100</v>
      </c>
      <c r="R12" s="43">
        <f t="shared" si="2"/>
        <v>31500</v>
      </c>
      <c r="S12" s="43">
        <f t="shared" si="2"/>
        <v>31500</v>
      </c>
      <c r="T12" s="43">
        <f t="shared" si="2"/>
        <v>31000</v>
      </c>
      <c r="U12" s="43">
        <f t="shared" si="2"/>
        <v>22500</v>
      </c>
      <c r="V12" s="79">
        <f t="shared" si="2"/>
        <v>25000</v>
      </c>
    </row>
    <row r="13" spans="1:23" x14ac:dyDescent="0.25">
      <c r="B13" t="str">
        <f t="shared" si="0"/>
        <v/>
      </c>
    </row>
    <row r="14" spans="1:23" ht="13.8" thickBot="1" x14ac:dyDescent="0.3">
      <c r="B14" s="3" t="str">
        <f t="shared" si="0"/>
        <v/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3" s="46" customFormat="1" ht="13.8" thickBot="1" x14ac:dyDescent="0.3">
      <c r="A15" s="47" t="s">
        <v>91</v>
      </c>
      <c r="B15" s="24" t="s">
        <v>182</v>
      </c>
      <c r="C15" s="125" t="s">
        <v>183</v>
      </c>
      <c r="D15" s="69" t="s">
        <v>178</v>
      </c>
      <c r="E15" s="127">
        <v>45383</v>
      </c>
      <c r="F15" s="101">
        <v>45017</v>
      </c>
      <c r="G15" s="101">
        <v>44652</v>
      </c>
      <c r="H15" s="101">
        <v>44287</v>
      </c>
      <c r="I15" s="101">
        <v>43922</v>
      </c>
      <c r="J15" s="101">
        <v>43556</v>
      </c>
      <c r="K15" s="101">
        <v>43191</v>
      </c>
      <c r="L15" s="25">
        <v>42826</v>
      </c>
      <c r="M15" s="25">
        <v>42461</v>
      </c>
      <c r="N15" s="25">
        <v>42095</v>
      </c>
      <c r="O15" s="25">
        <v>41730</v>
      </c>
      <c r="P15" s="25">
        <v>41365</v>
      </c>
      <c r="Q15" s="25">
        <v>41000</v>
      </c>
      <c r="R15" s="25">
        <v>40634</v>
      </c>
      <c r="S15" s="25">
        <v>40269</v>
      </c>
      <c r="T15" s="25">
        <v>39904</v>
      </c>
      <c r="U15" s="25">
        <v>39539</v>
      </c>
      <c r="V15" s="26">
        <v>39173</v>
      </c>
    </row>
    <row r="16" spans="1:23" s="46" customFormat="1" x14ac:dyDescent="0.25">
      <c r="A16" s="48" t="s">
        <v>7</v>
      </c>
      <c r="B16" s="49">
        <f t="shared" ref="B16:B31" si="3">IFERROR(((E16-F16)/F16),"")</f>
        <v>-0.53990384615384612</v>
      </c>
      <c r="C16" s="110">
        <v>-1561</v>
      </c>
      <c r="D16" s="50">
        <v>-928</v>
      </c>
      <c r="E16" s="126">
        <v>957</v>
      </c>
      <c r="F16" s="50">
        <v>2080</v>
      </c>
      <c r="G16" s="50">
        <v>1390</v>
      </c>
      <c r="H16" s="50">
        <v>1498</v>
      </c>
      <c r="I16" s="50">
        <v>113</v>
      </c>
      <c r="J16" s="50">
        <v>751</v>
      </c>
      <c r="K16" s="50">
        <v>898</v>
      </c>
      <c r="L16" s="50">
        <v>2150</v>
      </c>
      <c r="M16" s="50">
        <v>1850</v>
      </c>
      <c r="N16" s="50">
        <v>1500</v>
      </c>
      <c r="O16" s="50">
        <v>2800</v>
      </c>
      <c r="P16" s="50">
        <v>2500</v>
      </c>
      <c r="Q16" s="50">
        <v>2500</v>
      </c>
      <c r="R16" s="50">
        <v>2500</v>
      </c>
      <c r="S16" s="50">
        <v>2900</v>
      </c>
      <c r="T16" s="50">
        <v>1000</v>
      </c>
      <c r="U16" s="50">
        <v>800</v>
      </c>
      <c r="V16" s="60">
        <v>1000</v>
      </c>
    </row>
    <row r="17" spans="1:22" s="46" customFormat="1" x14ac:dyDescent="0.25">
      <c r="A17" s="48" t="s">
        <v>93</v>
      </c>
      <c r="B17" s="49" t="str">
        <f t="shared" si="3"/>
        <v/>
      </c>
      <c r="C17" s="110">
        <v>0</v>
      </c>
      <c r="D17" s="50">
        <v>0</v>
      </c>
      <c r="E17" s="126"/>
      <c r="F17" s="50"/>
      <c r="G17" s="50"/>
      <c r="H17" s="50">
        <v>145</v>
      </c>
      <c r="I17" s="50"/>
      <c r="J17" s="50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60">
        <v>0</v>
      </c>
    </row>
    <row r="18" spans="1:22" s="46" customFormat="1" ht="13.8" thickBot="1" x14ac:dyDescent="0.3">
      <c r="A18" s="48" t="s">
        <v>6</v>
      </c>
      <c r="B18" s="49" t="str">
        <f t="shared" si="3"/>
        <v/>
      </c>
      <c r="C18" s="110">
        <v>-139</v>
      </c>
      <c r="D18" s="50">
        <v>-12</v>
      </c>
      <c r="E18" s="126"/>
      <c r="F18" s="50"/>
      <c r="G18" s="50">
        <v>3</v>
      </c>
      <c r="H18" s="50">
        <v>180</v>
      </c>
      <c r="I18" s="50">
        <v>30</v>
      </c>
      <c r="J18" s="50"/>
      <c r="K18" s="50">
        <v>0</v>
      </c>
      <c r="L18" s="50">
        <v>0</v>
      </c>
      <c r="M18" s="50"/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60">
        <v>0</v>
      </c>
    </row>
    <row r="19" spans="1:22" s="67" customFormat="1" ht="13.8" thickBot="1" x14ac:dyDescent="0.3">
      <c r="A19" s="47" t="s">
        <v>92</v>
      </c>
      <c r="B19" s="56">
        <f t="shared" si="3"/>
        <v>-0.53990384615384612</v>
      </c>
      <c r="C19" s="115">
        <v>-1700</v>
      </c>
      <c r="D19" s="74">
        <v>-940</v>
      </c>
      <c r="E19" s="57">
        <f t="shared" ref="E19:M19" si="4">SUM(E16:E18)</f>
        <v>957</v>
      </c>
      <c r="F19" s="74">
        <f t="shared" si="4"/>
        <v>2080</v>
      </c>
      <c r="G19" s="74">
        <f t="shared" si="4"/>
        <v>1393</v>
      </c>
      <c r="H19" s="74">
        <f t="shared" si="4"/>
        <v>1823</v>
      </c>
      <c r="I19" s="74">
        <f t="shared" si="4"/>
        <v>143</v>
      </c>
      <c r="J19" s="74">
        <f t="shared" si="4"/>
        <v>751</v>
      </c>
      <c r="K19" s="74">
        <f t="shared" si="4"/>
        <v>898</v>
      </c>
      <c r="L19" s="74">
        <f t="shared" si="4"/>
        <v>2150</v>
      </c>
      <c r="M19" s="74">
        <f t="shared" si="4"/>
        <v>1850</v>
      </c>
      <c r="N19" s="74">
        <v>1500</v>
      </c>
      <c r="O19" s="74">
        <f>SUM(O16:O18)</f>
        <v>2800</v>
      </c>
      <c r="P19" s="74">
        <f>SUM(P16:P18)</f>
        <v>2500</v>
      </c>
      <c r="Q19" s="74">
        <f t="shared" ref="Q19:V19" si="5">SUM(Q16:Q18)</f>
        <v>2500</v>
      </c>
      <c r="R19" s="74">
        <f t="shared" si="5"/>
        <v>2500</v>
      </c>
      <c r="S19" s="74">
        <f t="shared" si="5"/>
        <v>2900</v>
      </c>
      <c r="T19" s="74">
        <f t="shared" si="5"/>
        <v>1000</v>
      </c>
      <c r="U19" s="74">
        <f t="shared" si="5"/>
        <v>800</v>
      </c>
      <c r="V19" s="75">
        <f t="shared" si="5"/>
        <v>1000</v>
      </c>
    </row>
    <row r="20" spans="1:22" s="46" customFormat="1" x14ac:dyDescent="0.25">
      <c r="B20" s="46" t="str">
        <f t="shared" si="3"/>
        <v/>
      </c>
    </row>
    <row r="21" spans="1:22" s="46" customFormat="1" x14ac:dyDescent="0.25">
      <c r="B21" s="46" t="str">
        <f t="shared" si="3"/>
        <v/>
      </c>
      <c r="G21" s="50"/>
      <c r="H21" s="50"/>
    </row>
    <row r="22" spans="1:22" s="46" customFormat="1" x14ac:dyDescent="0.25">
      <c r="B22" s="46" t="str">
        <f t="shared" si="3"/>
        <v/>
      </c>
      <c r="E22" s="50"/>
      <c r="F22" s="50"/>
      <c r="G22" s="50"/>
      <c r="H22" s="50"/>
    </row>
    <row r="23" spans="1:22" x14ac:dyDescent="0.25">
      <c r="B23" t="str">
        <f t="shared" si="3"/>
        <v/>
      </c>
    </row>
    <row r="24" spans="1:22" x14ac:dyDescent="0.25">
      <c r="E24" s="1"/>
      <c r="F24" s="1"/>
      <c r="G24" s="1"/>
      <c r="H24" s="1"/>
      <c r="I24" s="1"/>
    </row>
    <row r="25" spans="1:22" x14ac:dyDescent="0.25">
      <c r="B25" t="str">
        <f t="shared" si="3"/>
        <v/>
      </c>
    </row>
    <row r="26" spans="1:22" x14ac:dyDescent="0.25">
      <c r="B26" t="str">
        <f t="shared" si="3"/>
        <v/>
      </c>
    </row>
    <row r="27" spans="1:22" x14ac:dyDescent="0.25">
      <c r="B27" t="str">
        <f t="shared" si="3"/>
        <v/>
      </c>
    </row>
    <row r="28" spans="1:22" x14ac:dyDescent="0.25">
      <c r="B28" t="str">
        <f t="shared" si="3"/>
        <v/>
      </c>
    </row>
    <row r="29" spans="1:22" x14ac:dyDescent="0.25">
      <c r="B29" t="str">
        <f t="shared" si="3"/>
        <v/>
      </c>
    </row>
    <row r="30" spans="1:22" x14ac:dyDescent="0.25">
      <c r="B30" t="str">
        <f t="shared" si="3"/>
        <v/>
      </c>
    </row>
    <row r="31" spans="1:22" x14ac:dyDescent="0.25">
      <c r="B31" t="str">
        <f t="shared" si="3"/>
        <v/>
      </c>
    </row>
  </sheetData>
  <pageMargins left="0.75" right="0.75" top="1" bottom="1" header="0.5" footer="0.5"/>
  <pageSetup paperSize="9" scale="66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941D97F322B428ECE0E94A7E9CB38" ma:contentTypeVersion="18" ma:contentTypeDescription="Create a new document." ma:contentTypeScope="" ma:versionID="b58a3b35e2ddce0604bc863562ed7232">
  <xsd:schema xmlns:xsd="http://www.w3.org/2001/XMLSchema" xmlns:xs="http://www.w3.org/2001/XMLSchema" xmlns:p="http://schemas.microsoft.com/office/2006/metadata/properties" xmlns:ns2="5d5a9754-d989-458f-8bd1-64889b46f6fa" xmlns:ns3="0302a5af-5ac8-462a-a23b-b4d1027da431" targetNamespace="http://schemas.microsoft.com/office/2006/metadata/properties" ma:root="true" ma:fieldsID="6cf48def954ae243ce5d67995e46cda7" ns2:_="" ns3:_="">
    <xsd:import namespace="5d5a9754-d989-458f-8bd1-64889b46f6fa"/>
    <xsd:import namespace="0302a5af-5ac8-462a-a23b-b4d1027da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a9754-d989-458f-8bd1-64889b46f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e4ba69-e80c-4913-b477-8a96dcaff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a5af-5ac8-462a-a23b-b4d1027da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6be234-e780-497d-b4dc-e60f5fc21a6b}" ma:internalName="TaxCatchAll" ma:showField="CatchAllData" ma:web="0302a5af-5ac8-462a-a23b-b4d1027da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5a9754-d989-458f-8bd1-64889b46f6fa">
      <Terms xmlns="http://schemas.microsoft.com/office/infopath/2007/PartnerControls"/>
    </lcf76f155ced4ddcb4097134ff3c332f>
    <TaxCatchAll xmlns="0302a5af-5ac8-462a-a23b-b4d1027da431" xsi:nil="true"/>
  </documentManagement>
</p:properties>
</file>

<file path=customXml/itemProps1.xml><?xml version="1.0" encoding="utf-8"?>
<ds:datastoreItem xmlns:ds="http://schemas.openxmlformats.org/officeDocument/2006/customXml" ds:itemID="{0629BD4C-B730-40A0-89DC-D6ECABC15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a9754-d989-458f-8bd1-64889b46f6fa"/>
    <ds:schemaRef ds:uri="0302a5af-5ac8-462a-a23b-b4d1027da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F078A-4A22-D047-B4E3-6C3C1DE783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192D2F-C931-4D49-837C-867C1D4D956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501F1DD-AA85-49B1-8DE4-BDD147E932DC}">
  <ds:schemaRefs>
    <ds:schemaRef ds:uri="http://schemas.microsoft.com/office/2006/metadata/properties"/>
    <ds:schemaRef ds:uri="http://schemas.microsoft.com/office/infopath/2007/PartnerControls"/>
    <ds:schemaRef ds:uri="5d5a9754-d989-458f-8bd1-64889b46f6fa"/>
    <ds:schemaRef ds:uri="0302a5af-5ac8-462a-a23b-b4d1027da4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Intro</vt:lpstr>
      <vt:lpstr>US</vt:lpstr>
      <vt:lpstr>Europe - country</vt:lpstr>
      <vt:lpstr>Europe - variety</vt:lpstr>
      <vt:lpstr>Austria</vt:lpstr>
      <vt:lpstr>Belgium</vt:lpstr>
      <vt:lpstr>Czech Republic</vt:lpstr>
      <vt:lpstr>Denmark</vt:lpstr>
      <vt:lpstr>France</vt:lpstr>
      <vt:lpstr>Germany</vt:lpstr>
      <vt:lpstr>Italy</vt:lpstr>
      <vt:lpstr>Poland</vt:lpstr>
      <vt:lpstr>Portugal</vt:lpstr>
      <vt:lpstr>Spain</vt:lpstr>
      <vt:lpstr>Switzerland</vt:lpstr>
      <vt:lpstr>Netherlands</vt:lpstr>
      <vt:lpstr>UK</vt:lpstr>
      <vt:lpstr>'Europe - country'!Print_Area</vt:lpstr>
      <vt:lpstr>'Europe - variety'!Print_Area</vt:lpstr>
      <vt:lpstr>US!Print_Area</vt:lpstr>
    </vt:vector>
  </TitlesOfParts>
  <Company>Freshfell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Gil Kaufman</cp:lastModifiedBy>
  <cp:lastPrinted>2013-04-12T07:44:14Z</cp:lastPrinted>
  <dcterms:created xsi:type="dcterms:W3CDTF">2006-12-13T13:34:27Z</dcterms:created>
  <dcterms:modified xsi:type="dcterms:W3CDTF">2024-05-03T08:02:52Z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423200.000000000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0x01010052B941D97F322B428ECE0E94A7E9CB38</vt:lpwstr>
  </property>
</Properties>
</file>