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freshfel365.sharepoint.com/sites/common1/Shared Documents/NEW SYSTEM/WAPA/Stocks/WAPA Stocks/"/>
    </mc:Choice>
  </mc:AlternateContent>
  <xr:revisionPtr revIDLastSave="755" documentId="13_ncr:40009_{8F66B5CE-31C8-43EE-A5D8-A079FFF6F688}" xr6:coauthVersionLast="47" xr6:coauthVersionMax="47" xr10:uidLastSave="{D60434B2-4C09-45AB-9C5D-20DE64D3AE03}"/>
  <bookViews>
    <workbookView xWindow="-108" yWindow="-108" windowWidth="23256" windowHeight="12456" tabRatio="666" activeTab="3" xr2:uid="{00000000-000D-0000-FFFF-FFFF00000000}"/>
  </bookViews>
  <sheets>
    <sheet name="Intro" sheetId="22" r:id="rId1"/>
    <sheet name="US" sheetId="9" r:id="rId2"/>
    <sheet name="Europe - country" sheetId="1" r:id="rId3"/>
    <sheet name="Europe - variety" sheetId="2" r:id="rId4"/>
    <sheet name="Austria" sheetId="25" r:id="rId5"/>
    <sheet name="Belgium" sheetId="26" r:id="rId6"/>
    <sheet name="Czech Republic" sheetId="27" r:id="rId7"/>
    <sheet name="Denmark" sheetId="28" r:id="rId8"/>
    <sheet name="France" sheetId="35" r:id="rId9"/>
    <sheet name="Germany" sheetId="29" r:id="rId10"/>
    <sheet name="Italy" sheetId="31" r:id="rId11"/>
    <sheet name="Poland" sheetId="36" r:id="rId12"/>
    <sheet name="Portugal" sheetId="39" r:id="rId13"/>
    <sheet name="Slovakia" sheetId="40" state="hidden" r:id="rId14"/>
    <sheet name="Spain" sheetId="33" r:id="rId15"/>
    <sheet name="Switzerland" sheetId="34" r:id="rId16"/>
    <sheet name="Netherlands" sheetId="32" r:id="rId17"/>
    <sheet name="UK" sheetId="30" r:id="rId18"/>
  </sheets>
  <externalReferences>
    <externalReference r:id="rId19"/>
    <externalReference r:id="rId20"/>
  </externalReferences>
  <definedNames>
    <definedName name="_xlnm.Print_Area" localSheetId="2">'Europe - country'!$A$1:$W$52</definedName>
    <definedName name="_xlnm.Print_Area" localSheetId="3">'Europe - variety'!$A$1:$T$44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2" i="1" l="1"/>
  <c r="C32" i="1"/>
  <c r="E32" i="1"/>
  <c r="E15" i="1"/>
  <c r="C15" i="1" s="1"/>
  <c r="C19" i="30"/>
  <c r="C18" i="30"/>
  <c r="C17" i="30"/>
  <c r="C16" i="30"/>
  <c r="C12" i="30"/>
  <c r="C11" i="30"/>
  <c r="C10" i="30"/>
  <c r="C9" i="30"/>
  <c r="C8" i="30"/>
  <c r="C7" i="30"/>
  <c r="C6" i="30"/>
  <c r="C5" i="30"/>
  <c r="C4" i="30"/>
  <c r="C3" i="30"/>
  <c r="C2" i="30"/>
  <c r="B15" i="1" l="1"/>
  <c r="D13" i="39" l="1"/>
  <c r="C13" i="39"/>
  <c r="D42" i="2"/>
  <c r="C42" i="2"/>
  <c r="D27" i="1"/>
  <c r="C27" i="1"/>
  <c r="C25" i="36" l="1"/>
  <c r="C24" i="36"/>
  <c r="C23" i="36"/>
  <c r="C22" i="36"/>
  <c r="C18" i="36"/>
  <c r="C17" i="36"/>
  <c r="C16" i="36"/>
  <c r="C15" i="36"/>
  <c r="C14" i="36"/>
  <c r="C13" i="36"/>
  <c r="C12" i="36"/>
  <c r="C11" i="36"/>
  <c r="C10" i="36"/>
  <c r="C9" i="36"/>
  <c r="C8" i="36"/>
  <c r="C7" i="36"/>
  <c r="C6" i="36"/>
  <c r="C5" i="36"/>
  <c r="C4" i="36"/>
  <c r="C3" i="36"/>
  <c r="C2" i="36"/>
  <c r="C20" i="31" l="1"/>
  <c r="C19" i="31"/>
  <c r="C18" i="31"/>
  <c r="C17" i="31"/>
  <c r="C16" i="31"/>
  <c r="C15" i="31"/>
  <c r="C14" i="31"/>
  <c r="C13" i="31"/>
  <c r="C12" i="31"/>
  <c r="C11" i="31"/>
  <c r="C10" i="31"/>
  <c r="C9" i="31"/>
  <c r="C8" i="31"/>
  <c r="C7" i="31"/>
  <c r="C6" i="31"/>
  <c r="C5" i="31"/>
  <c r="C4" i="31"/>
  <c r="C3" i="31"/>
  <c r="C2" i="31"/>
  <c r="H19" i="31"/>
  <c r="E19" i="31"/>
  <c r="C38" i="35" l="1"/>
  <c r="C37" i="35"/>
  <c r="C36" i="35"/>
  <c r="C35" i="35"/>
  <c r="C34" i="35"/>
  <c r="C33" i="35"/>
  <c r="C32" i="35"/>
  <c r="C31" i="35"/>
  <c r="C30" i="35"/>
  <c r="C26" i="35"/>
  <c r="C25" i="35"/>
  <c r="C24" i="35"/>
  <c r="C23" i="35"/>
  <c r="C22" i="35"/>
  <c r="C21" i="35"/>
  <c r="C20" i="35"/>
  <c r="C19" i="35"/>
  <c r="C18" i="35"/>
  <c r="C17" i="35"/>
  <c r="C16" i="35"/>
  <c r="C15" i="35"/>
  <c r="C14" i="35"/>
  <c r="C13" i="35"/>
  <c r="C12" i="35"/>
  <c r="C11" i="35"/>
  <c r="C10" i="35"/>
  <c r="C9" i="35"/>
  <c r="C8" i="35"/>
  <c r="C7" i="35"/>
  <c r="C6" i="35"/>
  <c r="C5" i="35"/>
  <c r="C4" i="35"/>
  <c r="C3" i="35"/>
  <c r="C2" i="35"/>
  <c r="C15" i="32" l="1"/>
  <c r="C14" i="32"/>
  <c r="C13" i="32"/>
  <c r="C12" i="32"/>
  <c r="C8" i="32"/>
  <c r="C7" i="32"/>
  <c r="C6" i="32"/>
  <c r="C5" i="32"/>
  <c r="C4" i="32"/>
  <c r="C3" i="32"/>
  <c r="C2" i="32"/>
  <c r="C26" i="29"/>
  <c r="C25" i="29"/>
  <c r="C21" i="29"/>
  <c r="C20" i="29"/>
  <c r="C19" i="29"/>
  <c r="C18" i="29"/>
  <c r="C17" i="29"/>
  <c r="C16" i="29"/>
  <c r="C15" i="29"/>
  <c r="C14" i="29"/>
  <c r="C13" i="29"/>
  <c r="C12" i="29"/>
  <c r="C11" i="29"/>
  <c r="C10" i="29"/>
  <c r="C9" i="29"/>
  <c r="C8" i="29"/>
  <c r="C7" i="29"/>
  <c r="C6" i="29"/>
  <c r="C5" i="29"/>
  <c r="C4" i="29"/>
  <c r="C3" i="29"/>
  <c r="C2" i="29"/>
  <c r="C27" i="9" l="1"/>
  <c r="C26" i="9"/>
  <c r="C25" i="9"/>
  <c r="C24" i="9"/>
  <c r="C23" i="9"/>
  <c r="C22" i="9"/>
  <c r="C21" i="9"/>
  <c r="C20" i="9"/>
  <c r="C19" i="9"/>
  <c r="C18" i="9"/>
  <c r="C17" i="9"/>
  <c r="C16" i="9"/>
  <c r="C15" i="9"/>
  <c r="C14" i="9"/>
  <c r="C13" i="9"/>
  <c r="C12" i="9"/>
  <c r="C11" i="9"/>
  <c r="C10" i="9"/>
  <c r="C9" i="9"/>
  <c r="C8" i="9"/>
  <c r="C7" i="9"/>
  <c r="C6" i="9"/>
  <c r="C5" i="9"/>
  <c r="C4" i="9"/>
  <c r="C3" i="9"/>
  <c r="C2" i="9"/>
  <c r="C41" i="9"/>
  <c r="C40" i="9"/>
  <c r="C39" i="9"/>
  <c r="C38" i="9"/>
  <c r="C37" i="9"/>
  <c r="C36" i="9"/>
  <c r="C35" i="9"/>
  <c r="C34" i="9"/>
  <c r="C33" i="9"/>
  <c r="C32" i="9"/>
  <c r="C31" i="9"/>
  <c r="C14" i="39" l="1"/>
  <c r="W29" i="31" l="1"/>
  <c r="V29" i="31"/>
  <c r="U29" i="31"/>
  <c r="T29" i="31"/>
  <c r="S29" i="31"/>
  <c r="R29" i="31"/>
  <c r="Q29" i="31"/>
  <c r="P29" i="31"/>
  <c r="O29" i="31"/>
  <c r="N29" i="31"/>
  <c r="M29" i="31"/>
  <c r="L29" i="31"/>
  <c r="C29" i="31"/>
  <c r="C28" i="31"/>
  <c r="C27" i="31"/>
  <c r="C26" i="31"/>
  <c r="C25" i="31"/>
  <c r="C24" i="31"/>
  <c r="C17" i="33" l="1"/>
  <c r="C16" i="33"/>
  <c r="C15" i="33"/>
  <c r="C14" i="33"/>
  <c r="C13" i="33"/>
  <c r="C12" i="33"/>
  <c r="C8" i="33"/>
  <c r="C7" i="33"/>
  <c r="C6" i="33"/>
  <c r="C5" i="33"/>
  <c r="C4" i="33"/>
  <c r="C3" i="33"/>
  <c r="C2" i="33"/>
  <c r="C27" i="28"/>
  <c r="C26" i="28"/>
  <c r="C25" i="28"/>
  <c r="C24" i="28"/>
  <c r="C20" i="28"/>
  <c r="C19" i="28"/>
  <c r="C18" i="28"/>
  <c r="C17" i="28"/>
  <c r="C16" i="28"/>
  <c r="C15" i="28"/>
  <c r="C14" i="28"/>
  <c r="C13" i="28"/>
  <c r="C12" i="28"/>
  <c r="C11" i="28"/>
  <c r="C10" i="28"/>
  <c r="C9" i="28"/>
  <c r="C8" i="28"/>
  <c r="C7" i="28"/>
  <c r="C6" i="28"/>
  <c r="C5" i="28"/>
  <c r="C4" i="28"/>
  <c r="C3" i="28"/>
  <c r="C2" i="28"/>
  <c r="C21" i="27" l="1"/>
  <c r="C20" i="27"/>
  <c r="C19" i="27"/>
  <c r="C18" i="27"/>
  <c r="C17" i="27"/>
  <c r="C16" i="27"/>
  <c r="C12" i="27"/>
  <c r="C11" i="27"/>
  <c r="C10" i="27"/>
  <c r="C9" i="27"/>
  <c r="C8" i="27"/>
  <c r="C7" i="27"/>
  <c r="C6" i="27"/>
  <c r="C5" i="27"/>
  <c r="C4" i="27"/>
  <c r="C3" i="27"/>
  <c r="C2" i="27"/>
  <c r="C28" i="34" l="1"/>
  <c r="C27" i="34"/>
  <c r="C26" i="34"/>
  <c r="C25" i="34"/>
  <c r="C24" i="34"/>
  <c r="C23" i="34"/>
  <c r="C19" i="34"/>
  <c r="C18" i="34"/>
  <c r="C17" i="34"/>
  <c r="C16" i="34"/>
  <c r="C15" i="34"/>
  <c r="C14" i="34"/>
  <c r="C13" i="34"/>
  <c r="C12" i="34"/>
  <c r="C11" i="34"/>
  <c r="C10" i="34"/>
  <c r="C9" i="34"/>
  <c r="C8" i="34"/>
  <c r="C7" i="34"/>
  <c r="C6" i="34"/>
  <c r="C5" i="34"/>
  <c r="C4" i="34"/>
  <c r="C3" i="34"/>
  <c r="C2" i="34"/>
  <c r="C20" i="26" l="1"/>
  <c r="C19" i="26"/>
  <c r="C18" i="26"/>
  <c r="C17" i="26"/>
  <c r="C16" i="26"/>
  <c r="C15" i="26"/>
  <c r="C10" i="26"/>
  <c r="C9" i="26"/>
  <c r="C8" i="26"/>
  <c r="C7" i="26"/>
  <c r="C6" i="26"/>
  <c r="C5" i="26"/>
  <c r="C4" i="26"/>
  <c r="C3" i="26"/>
  <c r="C2" i="26"/>
  <c r="C2" i="2" l="1"/>
  <c r="E31" i="2"/>
  <c r="C31" i="2" s="1"/>
  <c r="E30" i="2"/>
  <c r="C30" i="2" s="1"/>
  <c r="E29" i="2"/>
  <c r="C29" i="2" s="1"/>
  <c r="E28" i="2"/>
  <c r="C28" i="2" s="1"/>
  <c r="E27" i="2"/>
  <c r="C27" i="2" s="1"/>
  <c r="E26" i="2"/>
  <c r="C26" i="2" s="1"/>
  <c r="E25" i="2"/>
  <c r="C25" i="2" s="1"/>
  <c r="E24" i="2"/>
  <c r="C24" i="2" s="1"/>
  <c r="E23" i="2"/>
  <c r="C23" i="2" s="1"/>
  <c r="E22" i="2"/>
  <c r="C22" i="2" s="1"/>
  <c r="E21" i="2"/>
  <c r="C21" i="2" s="1"/>
  <c r="E20" i="2"/>
  <c r="C20" i="2" s="1"/>
  <c r="E19" i="2"/>
  <c r="C19" i="2" s="1"/>
  <c r="E18" i="2"/>
  <c r="C18" i="2" s="1"/>
  <c r="E17" i="2"/>
  <c r="C17" i="2" s="1"/>
  <c r="E16" i="2"/>
  <c r="C16" i="2" s="1"/>
  <c r="E15" i="2"/>
  <c r="C15" i="2" s="1"/>
  <c r="E14" i="2"/>
  <c r="C14" i="2" s="1"/>
  <c r="E13" i="2"/>
  <c r="C13" i="2" s="1"/>
  <c r="E12" i="2"/>
  <c r="C12" i="2" s="1"/>
  <c r="E11" i="2"/>
  <c r="C11" i="2" s="1"/>
  <c r="E10" i="2"/>
  <c r="C10" i="2" s="1"/>
  <c r="E9" i="2"/>
  <c r="C9" i="2" s="1"/>
  <c r="E8" i="2"/>
  <c r="C8" i="2" s="1"/>
  <c r="E7" i="2"/>
  <c r="C7" i="2" s="1"/>
  <c r="E6" i="2"/>
  <c r="C6" i="2" s="1"/>
  <c r="E5" i="2"/>
  <c r="C5" i="2" s="1"/>
  <c r="E4" i="2"/>
  <c r="C4" i="2" s="1"/>
  <c r="E3" i="2"/>
  <c r="C3" i="2" s="1"/>
  <c r="E2" i="2"/>
  <c r="E43" i="2"/>
  <c r="C43" i="2" s="1"/>
  <c r="E42" i="2"/>
  <c r="E41" i="2"/>
  <c r="C41" i="2" s="1"/>
  <c r="E40" i="2"/>
  <c r="C40" i="2" s="1"/>
  <c r="E39" i="2"/>
  <c r="C39" i="2" s="1"/>
  <c r="E38" i="2"/>
  <c r="C38" i="2" s="1"/>
  <c r="E37" i="2"/>
  <c r="C37" i="2" s="1"/>
  <c r="E36" i="2"/>
  <c r="C36" i="2" s="1"/>
  <c r="E26" i="29"/>
  <c r="E24" i="1" s="1"/>
  <c r="C28" i="1"/>
  <c r="E28" i="1"/>
  <c r="C11" i="1"/>
  <c r="C10" i="1"/>
  <c r="C2" i="1"/>
  <c r="E11" i="1"/>
  <c r="E10" i="1"/>
  <c r="E2" i="1"/>
  <c r="C2" i="25"/>
  <c r="C21" i="25"/>
  <c r="C20" i="25"/>
  <c r="C19" i="25"/>
  <c r="C18" i="25"/>
  <c r="C17" i="25"/>
  <c r="C16" i="25"/>
  <c r="C15" i="25"/>
  <c r="C14" i="25"/>
  <c r="C13" i="25"/>
  <c r="C12" i="25"/>
  <c r="C11" i="25"/>
  <c r="C10" i="25"/>
  <c r="C9" i="25"/>
  <c r="C8" i="25"/>
  <c r="C7" i="25"/>
  <c r="C6" i="25"/>
  <c r="C5" i="25"/>
  <c r="C4" i="25"/>
  <c r="C3" i="25"/>
  <c r="E44" i="2" l="1"/>
  <c r="C44" i="2" s="1"/>
  <c r="E32" i="2"/>
  <c r="C32" i="2" s="1"/>
  <c r="C24" i="1"/>
  <c r="F27" i="9"/>
  <c r="D27" i="9" s="1"/>
  <c r="E19" i="30"/>
  <c r="E12" i="30"/>
  <c r="E15" i="32"/>
  <c r="E31" i="1" s="1"/>
  <c r="C31" i="1" s="1"/>
  <c r="E8" i="32"/>
  <c r="E14" i="1" s="1"/>
  <c r="C14" i="1" s="1"/>
  <c r="E28" i="34"/>
  <c r="E19" i="34"/>
  <c r="E8" i="33"/>
  <c r="E12" i="1" s="1"/>
  <c r="C12" i="1" s="1"/>
  <c r="E17" i="33"/>
  <c r="E29" i="1" s="1"/>
  <c r="C29" i="1" s="1"/>
  <c r="E14" i="39"/>
  <c r="E27" i="1" s="1"/>
  <c r="E25" i="36"/>
  <c r="E18" i="36"/>
  <c r="E9" i="1" s="1"/>
  <c r="C9" i="1" s="1"/>
  <c r="E29" i="31"/>
  <c r="E25" i="1" s="1"/>
  <c r="C25" i="1" s="1"/>
  <c r="E20" i="31"/>
  <c r="E8" i="1" s="1"/>
  <c r="C8" i="1" s="1"/>
  <c r="E21" i="29"/>
  <c r="E7" i="1" s="1"/>
  <c r="C7" i="1" s="1"/>
  <c r="E38" i="35"/>
  <c r="E26" i="35"/>
  <c r="E6" i="1" s="1"/>
  <c r="C6" i="1" s="1"/>
  <c r="E27" i="28"/>
  <c r="E22" i="1" s="1"/>
  <c r="C22" i="1" s="1"/>
  <c r="E20" i="28"/>
  <c r="E5" i="1" s="1"/>
  <c r="C5" i="1" s="1"/>
  <c r="E21" i="27"/>
  <c r="E12" i="27"/>
  <c r="E4" i="1" s="1"/>
  <c r="C4" i="1" s="1"/>
  <c r="E20" i="26"/>
  <c r="E10" i="26"/>
  <c r="E3" i="1" s="1"/>
  <c r="C3" i="1" s="1"/>
  <c r="E21" i="25"/>
  <c r="E41" i="9"/>
  <c r="E27" i="9"/>
  <c r="D14" i="32"/>
  <c r="D13" i="32"/>
  <c r="D12" i="32"/>
  <c r="D7" i="32"/>
  <c r="D6" i="32"/>
  <c r="D5" i="32"/>
  <c r="D4" i="32"/>
  <c r="D3" i="32"/>
  <c r="D2" i="32"/>
  <c r="D27" i="34"/>
  <c r="D26" i="34"/>
  <c r="D25" i="34"/>
  <c r="D24" i="34"/>
  <c r="D23" i="34"/>
  <c r="D18" i="34"/>
  <c r="D17" i="34"/>
  <c r="D16" i="34"/>
  <c r="D15" i="34"/>
  <c r="D14" i="34"/>
  <c r="D13" i="34"/>
  <c r="D12" i="34"/>
  <c r="D11" i="34"/>
  <c r="D10" i="34"/>
  <c r="D9" i="34"/>
  <c r="D8" i="34"/>
  <c r="D7" i="34"/>
  <c r="D6" i="34"/>
  <c r="D5" i="34"/>
  <c r="D4" i="34"/>
  <c r="D3" i="34"/>
  <c r="D2" i="34"/>
  <c r="D16" i="33"/>
  <c r="D15" i="33"/>
  <c r="D14" i="33"/>
  <c r="D13" i="33"/>
  <c r="D12" i="33"/>
  <c r="D7" i="33"/>
  <c r="D6" i="33"/>
  <c r="D5" i="33"/>
  <c r="D4" i="33"/>
  <c r="D3" i="33"/>
  <c r="D2" i="33"/>
  <c r="D24" i="36"/>
  <c r="D23" i="36"/>
  <c r="D22" i="36"/>
  <c r="D17" i="36"/>
  <c r="D16" i="36"/>
  <c r="D15" i="36"/>
  <c r="D14" i="36"/>
  <c r="D13" i="36"/>
  <c r="D12" i="36"/>
  <c r="D11" i="36"/>
  <c r="D10" i="36"/>
  <c r="D9" i="36"/>
  <c r="D8" i="36"/>
  <c r="D7" i="36"/>
  <c r="D6" i="36"/>
  <c r="D5" i="36"/>
  <c r="D4" i="36"/>
  <c r="D3" i="36"/>
  <c r="D2" i="36"/>
  <c r="D28" i="31"/>
  <c r="D27" i="31"/>
  <c r="D26" i="31"/>
  <c r="D25" i="31"/>
  <c r="D24" i="31"/>
  <c r="D19" i="31"/>
  <c r="D18" i="31"/>
  <c r="D17" i="31"/>
  <c r="D16" i="31"/>
  <c r="D15" i="31"/>
  <c r="D14" i="31"/>
  <c r="D13" i="31"/>
  <c r="D12" i="31"/>
  <c r="D11" i="31"/>
  <c r="D10" i="31"/>
  <c r="D9" i="31"/>
  <c r="D8" i="31"/>
  <c r="D7" i="31"/>
  <c r="D6" i="31"/>
  <c r="D5" i="31"/>
  <c r="D4" i="31"/>
  <c r="D3" i="31"/>
  <c r="D2" i="31"/>
  <c r="D26" i="29"/>
  <c r="D25" i="29"/>
  <c r="D20" i="29"/>
  <c r="D19" i="29"/>
  <c r="D18" i="29"/>
  <c r="D17" i="29"/>
  <c r="D16" i="29"/>
  <c r="D15" i="29"/>
  <c r="D14" i="29"/>
  <c r="D13" i="29"/>
  <c r="D12" i="29"/>
  <c r="D11" i="29"/>
  <c r="D10" i="29"/>
  <c r="D9" i="29"/>
  <c r="D8" i="29"/>
  <c r="D7" i="29"/>
  <c r="D6" i="29"/>
  <c r="D5" i="29"/>
  <c r="D4" i="29"/>
  <c r="D3" i="29"/>
  <c r="D2" i="29"/>
  <c r="D37" i="35"/>
  <c r="D36" i="35"/>
  <c r="D35" i="35"/>
  <c r="D34" i="35"/>
  <c r="D33" i="35"/>
  <c r="D32" i="35"/>
  <c r="D31" i="35"/>
  <c r="D30" i="35"/>
  <c r="D25" i="35"/>
  <c r="D24" i="35"/>
  <c r="D23" i="35"/>
  <c r="D22" i="35"/>
  <c r="D21" i="35"/>
  <c r="D20" i="35"/>
  <c r="D19" i="35"/>
  <c r="D18" i="35"/>
  <c r="D17" i="35"/>
  <c r="D16" i="35"/>
  <c r="D15" i="35"/>
  <c r="D14" i="35"/>
  <c r="D13" i="35"/>
  <c r="D12" i="35"/>
  <c r="D11" i="35"/>
  <c r="D10" i="35"/>
  <c r="D9" i="35"/>
  <c r="D8" i="35"/>
  <c r="D7" i="35"/>
  <c r="D6" i="35"/>
  <c r="D5" i="35"/>
  <c r="D4" i="35"/>
  <c r="D3" i="35"/>
  <c r="D2" i="35"/>
  <c r="D26" i="28"/>
  <c r="D25" i="28"/>
  <c r="D24" i="28"/>
  <c r="D19" i="28"/>
  <c r="D18" i="28"/>
  <c r="D17" i="28"/>
  <c r="D16" i="28"/>
  <c r="D15" i="28"/>
  <c r="D14" i="28"/>
  <c r="D13" i="28"/>
  <c r="D12" i="28"/>
  <c r="D11" i="28"/>
  <c r="D10" i="28"/>
  <c r="D9" i="28"/>
  <c r="D8" i="28"/>
  <c r="D7" i="28"/>
  <c r="D6" i="28"/>
  <c r="D5" i="28"/>
  <c r="D4" i="28"/>
  <c r="D3" i="28"/>
  <c r="D2" i="28"/>
  <c r="D20" i="27"/>
  <c r="D19" i="27"/>
  <c r="D18" i="27"/>
  <c r="D17" i="27"/>
  <c r="D16" i="27"/>
  <c r="D11" i="27"/>
  <c r="D10" i="27"/>
  <c r="D9" i="27"/>
  <c r="D8" i="27"/>
  <c r="D7" i="27"/>
  <c r="D6" i="27"/>
  <c r="D5" i="27"/>
  <c r="D4" i="27"/>
  <c r="D3" i="27"/>
  <c r="D2" i="27"/>
  <c r="D19" i="26"/>
  <c r="D18" i="26"/>
  <c r="D17" i="26"/>
  <c r="D16" i="26"/>
  <c r="D15" i="26"/>
  <c r="D9" i="26"/>
  <c r="D8" i="26"/>
  <c r="D7" i="26"/>
  <c r="D6" i="26"/>
  <c r="D5" i="26"/>
  <c r="D4" i="26"/>
  <c r="D3" i="26"/>
  <c r="D2" i="26"/>
  <c r="D21" i="25"/>
  <c r="D20" i="25"/>
  <c r="D19" i="25"/>
  <c r="D18" i="25"/>
  <c r="D17" i="25"/>
  <c r="D16" i="25"/>
  <c r="D15" i="25"/>
  <c r="D14" i="25"/>
  <c r="D13" i="25"/>
  <c r="D12" i="25"/>
  <c r="D11" i="25"/>
  <c r="D10" i="25"/>
  <c r="D9" i="25"/>
  <c r="D8" i="25"/>
  <c r="D7" i="25"/>
  <c r="D6" i="25"/>
  <c r="D5" i="25"/>
  <c r="D4" i="25"/>
  <c r="D3" i="25"/>
  <c r="D2" i="25"/>
  <c r="D40" i="9"/>
  <c r="D39" i="9"/>
  <c r="D38" i="9"/>
  <c r="D37" i="9"/>
  <c r="D36" i="9"/>
  <c r="D35" i="9"/>
  <c r="D34" i="9"/>
  <c r="D33" i="9"/>
  <c r="D32" i="9"/>
  <c r="D31" i="9"/>
  <c r="D26" i="9"/>
  <c r="D25" i="9"/>
  <c r="D24" i="9"/>
  <c r="D23" i="9"/>
  <c r="D22" i="9"/>
  <c r="D21" i="9"/>
  <c r="D20" i="9"/>
  <c r="D19" i="9"/>
  <c r="D18" i="9"/>
  <c r="D17" i="9"/>
  <c r="D16" i="9"/>
  <c r="D15" i="9"/>
  <c r="D14" i="9"/>
  <c r="D13" i="9"/>
  <c r="D12" i="9"/>
  <c r="D11" i="9"/>
  <c r="D10" i="9"/>
  <c r="D9" i="9"/>
  <c r="D8" i="9"/>
  <c r="D7" i="9"/>
  <c r="D6" i="9"/>
  <c r="D5" i="9"/>
  <c r="D4" i="9"/>
  <c r="D3" i="9"/>
  <c r="D2" i="9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18" i="1"/>
  <c r="B17" i="1"/>
  <c r="B50" i="2"/>
  <c r="B49" i="2"/>
  <c r="B48" i="2"/>
  <c r="B47" i="2"/>
  <c r="B46" i="2"/>
  <c r="B45" i="2"/>
  <c r="B34" i="2"/>
  <c r="B33" i="2"/>
  <c r="B50" i="25"/>
  <c r="B49" i="25"/>
  <c r="B48" i="25"/>
  <c r="B47" i="25"/>
  <c r="B46" i="25"/>
  <c r="B45" i="25"/>
  <c r="B44" i="25"/>
  <c r="B43" i="25"/>
  <c r="B42" i="25"/>
  <c r="B41" i="25"/>
  <c r="B40" i="25"/>
  <c r="B39" i="25"/>
  <c r="B38" i="25"/>
  <c r="B37" i="25"/>
  <c r="B36" i="25"/>
  <c r="B35" i="25"/>
  <c r="B34" i="25"/>
  <c r="B33" i="25"/>
  <c r="B32" i="25"/>
  <c r="B31" i="25"/>
  <c r="B30" i="25"/>
  <c r="B29" i="25"/>
  <c r="B28" i="25"/>
  <c r="B27" i="25"/>
  <c r="B26" i="25"/>
  <c r="B25" i="25"/>
  <c r="B24" i="25"/>
  <c r="B23" i="25"/>
  <c r="B22" i="25"/>
  <c r="B21" i="25"/>
  <c r="B20" i="25"/>
  <c r="B19" i="25"/>
  <c r="B18" i="25"/>
  <c r="B17" i="25"/>
  <c r="B16" i="25"/>
  <c r="B15" i="25"/>
  <c r="B14" i="25"/>
  <c r="B13" i="25"/>
  <c r="B12" i="25"/>
  <c r="B11" i="25"/>
  <c r="B10" i="25"/>
  <c r="B9" i="25"/>
  <c r="B8" i="25"/>
  <c r="B7" i="25"/>
  <c r="B6" i="25"/>
  <c r="B5" i="25"/>
  <c r="B4" i="25"/>
  <c r="B3" i="25"/>
  <c r="B50" i="26"/>
  <c r="B49" i="26"/>
  <c r="B48" i="26"/>
  <c r="B47" i="26"/>
  <c r="B46" i="26"/>
  <c r="B45" i="26"/>
  <c r="B44" i="26"/>
  <c r="B43" i="26"/>
  <c r="B42" i="26"/>
  <c r="B41" i="26"/>
  <c r="B40" i="26"/>
  <c r="B39" i="26"/>
  <c r="B38" i="26"/>
  <c r="B37" i="26"/>
  <c r="B36" i="26"/>
  <c r="B35" i="26"/>
  <c r="B34" i="26"/>
  <c r="B33" i="26"/>
  <c r="B32" i="26"/>
  <c r="B31" i="26"/>
  <c r="B30" i="26"/>
  <c r="B29" i="26"/>
  <c r="B28" i="26"/>
  <c r="B27" i="26"/>
  <c r="B26" i="26"/>
  <c r="B25" i="26"/>
  <c r="B24" i="26"/>
  <c r="B23" i="26"/>
  <c r="B22" i="26"/>
  <c r="B21" i="26"/>
  <c r="B19" i="26"/>
  <c r="B18" i="26"/>
  <c r="B17" i="26"/>
  <c r="B16" i="26"/>
  <c r="B15" i="26"/>
  <c r="B13" i="26"/>
  <c r="B12" i="26"/>
  <c r="B11" i="26"/>
  <c r="B9" i="26"/>
  <c r="B8" i="26"/>
  <c r="B7" i="26"/>
  <c r="B6" i="26"/>
  <c r="B5" i="26"/>
  <c r="B4" i="26"/>
  <c r="B3" i="26"/>
  <c r="B50" i="27"/>
  <c r="B49" i="27"/>
  <c r="B48" i="27"/>
  <c r="B47" i="27"/>
  <c r="B46" i="27"/>
  <c r="B45" i="27"/>
  <c r="B44" i="27"/>
  <c r="B43" i="27"/>
  <c r="B42" i="27"/>
  <c r="B41" i="27"/>
  <c r="B40" i="27"/>
  <c r="B39" i="27"/>
  <c r="B38" i="27"/>
  <c r="B37" i="27"/>
  <c r="B36" i="27"/>
  <c r="B35" i="27"/>
  <c r="B34" i="27"/>
  <c r="B33" i="27"/>
  <c r="B32" i="27"/>
  <c r="B31" i="27"/>
  <c r="B30" i="27"/>
  <c r="B29" i="27"/>
  <c r="B28" i="27"/>
  <c r="B27" i="27"/>
  <c r="B26" i="27"/>
  <c r="B25" i="27"/>
  <c r="B24" i="27"/>
  <c r="B23" i="27"/>
  <c r="B22" i="27"/>
  <c r="B20" i="27"/>
  <c r="B19" i="27"/>
  <c r="B18" i="27"/>
  <c r="B17" i="27"/>
  <c r="B16" i="27"/>
  <c r="B14" i="27"/>
  <c r="B13" i="27"/>
  <c r="B11" i="27"/>
  <c r="B10" i="27"/>
  <c r="B9" i="27"/>
  <c r="B8" i="27"/>
  <c r="B7" i="27"/>
  <c r="B6" i="27"/>
  <c r="B5" i="27"/>
  <c r="B4" i="27"/>
  <c r="B3" i="27"/>
  <c r="B50" i="28"/>
  <c r="B49" i="28"/>
  <c r="B48" i="28"/>
  <c r="B47" i="28"/>
  <c r="B46" i="28"/>
  <c r="B45" i="28"/>
  <c r="B44" i="28"/>
  <c r="B43" i="28"/>
  <c r="B42" i="28"/>
  <c r="B41" i="28"/>
  <c r="B40" i="28"/>
  <c r="B39" i="28"/>
  <c r="B38" i="28"/>
  <c r="B37" i="28"/>
  <c r="B36" i="28"/>
  <c r="B35" i="28"/>
  <c r="B34" i="28"/>
  <c r="B33" i="28"/>
  <c r="B32" i="28"/>
  <c r="B31" i="28"/>
  <c r="B30" i="28"/>
  <c r="B29" i="28"/>
  <c r="B28" i="28"/>
  <c r="B26" i="28"/>
  <c r="B25" i="28"/>
  <c r="B24" i="28"/>
  <c r="B22" i="28"/>
  <c r="B21" i="28"/>
  <c r="B19" i="28"/>
  <c r="B18" i="28"/>
  <c r="B17" i="28"/>
  <c r="B16" i="28"/>
  <c r="B15" i="28"/>
  <c r="B14" i="28"/>
  <c r="B13" i="28"/>
  <c r="B12" i="28"/>
  <c r="B11" i="28"/>
  <c r="B10" i="28"/>
  <c r="B9" i="28"/>
  <c r="B8" i="28"/>
  <c r="B7" i="28"/>
  <c r="B6" i="28"/>
  <c r="B5" i="28"/>
  <c r="B4" i="28"/>
  <c r="B3" i="28"/>
  <c r="B50" i="35"/>
  <c r="B49" i="35"/>
  <c r="B48" i="35"/>
  <c r="B47" i="35"/>
  <c r="B46" i="35"/>
  <c r="B45" i="35"/>
  <c r="B44" i="35"/>
  <c r="B43" i="35"/>
  <c r="B42" i="35"/>
  <c r="B41" i="35"/>
  <c r="B40" i="35"/>
  <c r="B39" i="35"/>
  <c r="B37" i="35"/>
  <c r="B36" i="35"/>
  <c r="B35" i="35"/>
  <c r="B34" i="35"/>
  <c r="B33" i="35"/>
  <c r="B32" i="35"/>
  <c r="B31" i="35"/>
  <c r="B30" i="35"/>
  <c r="B28" i="35"/>
  <c r="B27" i="35"/>
  <c r="B25" i="35"/>
  <c r="B24" i="35"/>
  <c r="B23" i="35"/>
  <c r="B22" i="35"/>
  <c r="B21" i="35"/>
  <c r="B20" i="35"/>
  <c r="B19" i="35"/>
  <c r="B18" i="35"/>
  <c r="B17" i="35"/>
  <c r="B16" i="35"/>
  <c r="B15" i="35"/>
  <c r="B14" i="35"/>
  <c r="B13" i="35"/>
  <c r="B12" i="35"/>
  <c r="B11" i="35"/>
  <c r="B10" i="35"/>
  <c r="B9" i="35"/>
  <c r="B8" i="35"/>
  <c r="B7" i="35"/>
  <c r="B6" i="35"/>
  <c r="B5" i="35"/>
  <c r="B4" i="35"/>
  <c r="B3" i="35"/>
  <c r="B50" i="29"/>
  <c r="B49" i="29"/>
  <c r="B48" i="29"/>
  <c r="B47" i="29"/>
  <c r="B46" i="29"/>
  <c r="B45" i="29"/>
  <c r="B44" i="29"/>
  <c r="B43" i="29"/>
  <c r="B42" i="29"/>
  <c r="B41" i="29"/>
  <c r="B40" i="29"/>
  <c r="B39" i="29"/>
  <c r="B38" i="29"/>
  <c r="B37" i="29"/>
  <c r="B36" i="29"/>
  <c r="B35" i="29"/>
  <c r="B34" i="29"/>
  <c r="B33" i="29"/>
  <c r="B32" i="29"/>
  <c r="B31" i="29"/>
  <c r="B30" i="29"/>
  <c r="B29" i="29"/>
  <c r="B28" i="29"/>
  <c r="B27" i="29"/>
  <c r="B26" i="29"/>
  <c r="B25" i="29"/>
  <c r="B23" i="29"/>
  <c r="B22" i="29"/>
  <c r="B20" i="29"/>
  <c r="B19" i="29"/>
  <c r="B18" i="29"/>
  <c r="B17" i="29"/>
  <c r="B16" i="29"/>
  <c r="B15" i="29"/>
  <c r="B14" i="29"/>
  <c r="B13" i="29"/>
  <c r="B12" i="29"/>
  <c r="B11" i="29"/>
  <c r="B10" i="29"/>
  <c r="B9" i="29"/>
  <c r="B8" i="29"/>
  <c r="B7" i="29"/>
  <c r="B6" i="29"/>
  <c r="B5" i="29"/>
  <c r="B4" i="29"/>
  <c r="B3" i="29"/>
  <c r="B50" i="31"/>
  <c r="B49" i="31"/>
  <c r="B48" i="31"/>
  <c r="B47" i="31"/>
  <c r="B46" i="31"/>
  <c r="B45" i="31"/>
  <c r="B44" i="31"/>
  <c r="B43" i="31"/>
  <c r="B42" i="31"/>
  <c r="B41" i="31"/>
  <c r="B40" i="31"/>
  <c r="B39" i="31"/>
  <c r="B38" i="31"/>
  <c r="B37" i="31"/>
  <c r="B36" i="31"/>
  <c r="B35" i="31"/>
  <c r="B34" i="31"/>
  <c r="B33" i="31"/>
  <c r="B32" i="31"/>
  <c r="B31" i="31"/>
  <c r="B30" i="31"/>
  <c r="B28" i="31"/>
  <c r="B27" i="31"/>
  <c r="B26" i="31"/>
  <c r="B25" i="31"/>
  <c r="B24" i="31"/>
  <c r="B22" i="31"/>
  <c r="B21" i="31"/>
  <c r="B19" i="31"/>
  <c r="B18" i="31"/>
  <c r="B17" i="31"/>
  <c r="B16" i="31"/>
  <c r="B15" i="31"/>
  <c r="B14" i="31"/>
  <c r="B13" i="31"/>
  <c r="B12" i="31"/>
  <c r="B11" i="31"/>
  <c r="B10" i="31"/>
  <c r="B9" i="31"/>
  <c r="B8" i="31"/>
  <c r="B7" i="31"/>
  <c r="B6" i="31"/>
  <c r="B5" i="31"/>
  <c r="B4" i="31"/>
  <c r="B3" i="31"/>
  <c r="B50" i="36"/>
  <c r="B49" i="36"/>
  <c r="B48" i="36"/>
  <c r="B47" i="36"/>
  <c r="B46" i="36"/>
  <c r="B45" i="36"/>
  <c r="B44" i="36"/>
  <c r="B43" i="36"/>
  <c r="B42" i="36"/>
  <c r="B41" i="36"/>
  <c r="B40" i="36"/>
  <c r="B39" i="36"/>
  <c r="B38" i="36"/>
  <c r="B37" i="36"/>
  <c r="B36" i="36"/>
  <c r="B35" i="36"/>
  <c r="B34" i="36"/>
  <c r="B33" i="36"/>
  <c r="B32" i="36"/>
  <c r="B31" i="36"/>
  <c r="B30" i="36"/>
  <c r="B29" i="36"/>
  <c r="B28" i="36"/>
  <c r="B27" i="36"/>
  <c r="B26" i="36"/>
  <c r="B24" i="36"/>
  <c r="B23" i="36"/>
  <c r="B22" i="36"/>
  <c r="B20" i="36"/>
  <c r="B19" i="36"/>
  <c r="B17" i="36"/>
  <c r="B16" i="36"/>
  <c r="B15" i="36"/>
  <c r="B14" i="36"/>
  <c r="B13" i="36"/>
  <c r="B12" i="36"/>
  <c r="B11" i="36"/>
  <c r="B10" i="36"/>
  <c r="B9" i="36"/>
  <c r="B8" i="36"/>
  <c r="B7" i="36"/>
  <c r="B6" i="36"/>
  <c r="B5" i="36"/>
  <c r="B4" i="36"/>
  <c r="B3" i="36"/>
  <c r="B50" i="39"/>
  <c r="B49" i="39"/>
  <c r="B48" i="39"/>
  <c r="B47" i="39"/>
  <c r="B46" i="39"/>
  <c r="B45" i="39"/>
  <c r="B44" i="39"/>
  <c r="B43" i="39"/>
  <c r="B42" i="39"/>
  <c r="B41" i="39"/>
  <c r="B40" i="39"/>
  <c r="B39" i="39"/>
  <c r="B38" i="39"/>
  <c r="B37" i="39"/>
  <c r="B36" i="39"/>
  <c r="B35" i="39"/>
  <c r="B34" i="39"/>
  <c r="B33" i="39"/>
  <c r="B32" i="39"/>
  <c r="B31" i="39"/>
  <c r="B30" i="39"/>
  <c r="B29" i="39"/>
  <c r="B28" i="39"/>
  <c r="B27" i="39"/>
  <c r="B26" i="39"/>
  <c r="B25" i="39"/>
  <c r="B24" i="39"/>
  <c r="B23" i="39"/>
  <c r="B22" i="39"/>
  <c r="B21" i="39"/>
  <c r="B20" i="39"/>
  <c r="B19" i="39"/>
  <c r="B18" i="39"/>
  <c r="B17" i="39"/>
  <c r="B16" i="39"/>
  <c r="B15" i="39"/>
  <c r="B13" i="39"/>
  <c r="B11" i="39"/>
  <c r="B10" i="39"/>
  <c r="B9" i="39"/>
  <c r="B8" i="39"/>
  <c r="B7" i="39"/>
  <c r="B6" i="39"/>
  <c r="B5" i="39"/>
  <c r="B4" i="39"/>
  <c r="B3" i="39"/>
  <c r="B50" i="40"/>
  <c r="B49" i="40"/>
  <c r="B48" i="40"/>
  <c r="B47" i="40"/>
  <c r="B46" i="40"/>
  <c r="B45" i="40"/>
  <c r="B44" i="40"/>
  <c r="B43" i="40"/>
  <c r="B42" i="40"/>
  <c r="B41" i="40"/>
  <c r="B40" i="40"/>
  <c r="B39" i="40"/>
  <c r="B38" i="40"/>
  <c r="B37" i="40"/>
  <c r="B36" i="40"/>
  <c r="B35" i="40"/>
  <c r="B34" i="40"/>
  <c r="B33" i="40"/>
  <c r="B32" i="40"/>
  <c r="B31" i="40"/>
  <c r="B30" i="40"/>
  <c r="B29" i="40"/>
  <c r="B28" i="40"/>
  <c r="B27" i="40"/>
  <c r="B26" i="40"/>
  <c r="B25" i="40"/>
  <c r="B24" i="40"/>
  <c r="B23" i="40"/>
  <c r="B22" i="40"/>
  <c r="B21" i="40"/>
  <c r="B20" i="40"/>
  <c r="B19" i="40"/>
  <c r="B18" i="40"/>
  <c r="B17" i="40"/>
  <c r="B16" i="40"/>
  <c r="B15" i="40"/>
  <c r="B13" i="40"/>
  <c r="B12" i="40"/>
  <c r="B11" i="40"/>
  <c r="B10" i="40"/>
  <c r="B9" i="40"/>
  <c r="B8" i="40"/>
  <c r="B7" i="40"/>
  <c r="B6" i="40"/>
  <c r="B5" i="40"/>
  <c r="B4" i="40"/>
  <c r="B3" i="40"/>
  <c r="B50" i="33"/>
  <c r="B49" i="33"/>
  <c r="B48" i="33"/>
  <c r="B47" i="33"/>
  <c r="B46" i="33"/>
  <c r="B45" i="33"/>
  <c r="B44" i="33"/>
  <c r="B43" i="33"/>
  <c r="B42" i="33"/>
  <c r="B41" i="33"/>
  <c r="B40" i="33"/>
  <c r="B39" i="33"/>
  <c r="B38" i="33"/>
  <c r="B37" i="33"/>
  <c r="B36" i="33"/>
  <c r="B35" i="33"/>
  <c r="B34" i="33"/>
  <c r="B33" i="33"/>
  <c r="B32" i="33"/>
  <c r="B31" i="33"/>
  <c r="B30" i="33"/>
  <c r="B29" i="33"/>
  <c r="B28" i="33"/>
  <c r="B27" i="33"/>
  <c r="B26" i="33"/>
  <c r="B25" i="33"/>
  <c r="B24" i="33"/>
  <c r="B23" i="33"/>
  <c r="B22" i="33"/>
  <c r="B21" i="33"/>
  <c r="B20" i="33"/>
  <c r="B19" i="33"/>
  <c r="B18" i="33"/>
  <c r="B16" i="33"/>
  <c r="B15" i="33"/>
  <c r="B14" i="33"/>
  <c r="B13" i="33"/>
  <c r="B12" i="33"/>
  <c r="B10" i="33"/>
  <c r="B9" i="33"/>
  <c r="B7" i="33"/>
  <c r="B6" i="33"/>
  <c r="B5" i="33"/>
  <c r="B4" i="33"/>
  <c r="B3" i="33"/>
  <c r="B50" i="34"/>
  <c r="B49" i="34"/>
  <c r="B48" i="34"/>
  <c r="B47" i="34"/>
  <c r="B46" i="34"/>
  <c r="B45" i="34"/>
  <c r="B44" i="34"/>
  <c r="B43" i="34"/>
  <c r="B42" i="34"/>
  <c r="B41" i="34"/>
  <c r="B40" i="34"/>
  <c r="B39" i="34"/>
  <c r="B38" i="34"/>
  <c r="B37" i="34"/>
  <c r="B36" i="34"/>
  <c r="B35" i="34"/>
  <c r="B34" i="34"/>
  <c r="B33" i="34"/>
  <c r="B32" i="34"/>
  <c r="B31" i="34"/>
  <c r="B30" i="34"/>
  <c r="B29" i="34"/>
  <c r="B27" i="34"/>
  <c r="B26" i="34"/>
  <c r="B25" i="34"/>
  <c r="B24" i="34"/>
  <c r="B23" i="34"/>
  <c r="B21" i="34"/>
  <c r="B20" i="34"/>
  <c r="B18" i="34"/>
  <c r="B17" i="34"/>
  <c r="B16" i="34"/>
  <c r="B15" i="34"/>
  <c r="B14" i="34"/>
  <c r="B13" i="34"/>
  <c r="B12" i="34"/>
  <c r="B11" i="34"/>
  <c r="B10" i="34"/>
  <c r="B9" i="34"/>
  <c r="B8" i="34"/>
  <c r="B7" i="34"/>
  <c r="B6" i="34"/>
  <c r="B5" i="34"/>
  <c r="B4" i="34"/>
  <c r="B3" i="34"/>
  <c r="B50" i="32"/>
  <c r="B49" i="32"/>
  <c r="B48" i="32"/>
  <c r="B47" i="32"/>
  <c r="B46" i="32"/>
  <c r="B45" i="32"/>
  <c r="B44" i="32"/>
  <c r="B43" i="32"/>
  <c r="B42" i="32"/>
  <c r="B41" i="32"/>
  <c r="B40" i="32"/>
  <c r="B39" i="32"/>
  <c r="B38" i="32"/>
  <c r="B37" i="32"/>
  <c r="B36" i="32"/>
  <c r="B35" i="32"/>
  <c r="B34" i="32"/>
  <c r="B33" i="32"/>
  <c r="B32" i="32"/>
  <c r="B31" i="32"/>
  <c r="B30" i="32"/>
  <c r="B29" i="32"/>
  <c r="B28" i="32"/>
  <c r="B27" i="32"/>
  <c r="B26" i="32"/>
  <c r="B25" i="32"/>
  <c r="B24" i="32"/>
  <c r="B23" i="32"/>
  <c r="B22" i="32"/>
  <c r="B21" i="32"/>
  <c r="B20" i="32"/>
  <c r="B19" i="32"/>
  <c r="B18" i="32"/>
  <c r="B17" i="32"/>
  <c r="B16" i="32"/>
  <c r="B14" i="32"/>
  <c r="B13" i="32"/>
  <c r="B12" i="32"/>
  <c r="B10" i="32"/>
  <c r="B9" i="32"/>
  <c r="B7" i="32"/>
  <c r="B6" i="32"/>
  <c r="B5" i="32"/>
  <c r="B4" i="32"/>
  <c r="B3" i="32"/>
  <c r="B50" i="30"/>
  <c r="B49" i="30"/>
  <c r="B48" i="30"/>
  <c r="B47" i="30"/>
  <c r="B46" i="30"/>
  <c r="B45" i="30"/>
  <c r="B44" i="30"/>
  <c r="B43" i="30"/>
  <c r="B42" i="30"/>
  <c r="B41" i="30"/>
  <c r="B40" i="30"/>
  <c r="B39" i="30"/>
  <c r="B38" i="30"/>
  <c r="B37" i="30"/>
  <c r="B36" i="30"/>
  <c r="B35" i="30"/>
  <c r="B34" i="30"/>
  <c r="B33" i="30"/>
  <c r="B32" i="30"/>
  <c r="B31" i="30"/>
  <c r="B30" i="30"/>
  <c r="B29" i="30"/>
  <c r="B28" i="30"/>
  <c r="B27" i="30"/>
  <c r="B26" i="30"/>
  <c r="B25" i="30"/>
  <c r="B24" i="30"/>
  <c r="B23" i="30"/>
  <c r="B22" i="30"/>
  <c r="B21" i="30"/>
  <c r="B20" i="30"/>
  <c r="B18" i="30"/>
  <c r="B17" i="30"/>
  <c r="B16" i="30"/>
  <c r="B14" i="30"/>
  <c r="B13" i="30"/>
  <c r="B11" i="30"/>
  <c r="B10" i="30"/>
  <c r="B9" i="30"/>
  <c r="B8" i="30"/>
  <c r="B7" i="30"/>
  <c r="B6" i="30"/>
  <c r="B5" i="30"/>
  <c r="B4" i="30"/>
  <c r="B3" i="30"/>
  <c r="B50" i="9"/>
  <c r="B49" i="9"/>
  <c r="B48" i="9"/>
  <c r="B47" i="9"/>
  <c r="B46" i="9"/>
  <c r="B45" i="9"/>
  <c r="B44" i="9"/>
  <c r="B43" i="9"/>
  <c r="B42" i="9"/>
  <c r="B40" i="9"/>
  <c r="B39" i="9"/>
  <c r="B38" i="9"/>
  <c r="B37" i="9"/>
  <c r="B36" i="9"/>
  <c r="B35" i="9"/>
  <c r="B34" i="9"/>
  <c r="B33" i="9"/>
  <c r="B32" i="9"/>
  <c r="B31" i="9"/>
  <c r="B29" i="9"/>
  <c r="B28" i="9"/>
  <c r="B26" i="9"/>
  <c r="B25" i="9"/>
  <c r="B24" i="9"/>
  <c r="B23" i="9"/>
  <c r="B22" i="9"/>
  <c r="B21" i="9"/>
  <c r="B20" i="9"/>
  <c r="B19" i="9"/>
  <c r="B18" i="9"/>
  <c r="B17" i="9"/>
  <c r="B16" i="9"/>
  <c r="B15" i="9"/>
  <c r="B14" i="9"/>
  <c r="B13" i="9"/>
  <c r="B12" i="9"/>
  <c r="B11" i="9"/>
  <c r="B10" i="9"/>
  <c r="B9" i="9"/>
  <c r="B8" i="9"/>
  <c r="B7" i="9"/>
  <c r="B6" i="9"/>
  <c r="B5" i="9"/>
  <c r="B4" i="9"/>
  <c r="B3" i="9"/>
  <c r="B2" i="25"/>
  <c r="B2" i="26"/>
  <c r="B2" i="27"/>
  <c r="B2" i="28"/>
  <c r="B2" i="35"/>
  <c r="B2" i="29"/>
  <c r="B2" i="31"/>
  <c r="B2" i="36"/>
  <c r="B2" i="39"/>
  <c r="B2" i="40"/>
  <c r="B2" i="33"/>
  <c r="B2" i="34"/>
  <c r="B2" i="32"/>
  <c r="B2" i="30"/>
  <c r="B2" i="9"/>
  <c r="E26" i="1" l="1"/>
  <c r="C26" i="1" s="1"/>
  <c r="E23" i="1"/>
  <c r="C23" i="1" s="1"/>
  <c r="E21" i="1"/>
  <c r="C21" i="1" s="1"/>
  <c r="E30" i="1"/>
  <c r="C30" i="1" s="1"/>
  <c r="E13" i="1"/>
  <c r="C13" i="1" s="1"/>
  <c r="E20" i="1"/>
  <c r="E16" i="1"/>
  <c r="B27" i="9"/>
  <c r="C20" i="1" l="1"/>
  <c r="E33" i="1"/>
  <c r="C33" i="1" s="1"/>
  <c r="C16" i="1"/>
  <c r="F43" i="2"/>
  <c r="F42" i="2"/>
  <c r="F41" i="2"/>
  <c r="F40" i="2"/>
  <c r="F39" i="2"/>
  <c r="F38" i="2"/>
  <c r="F37" i="2"/>
  <c r="F36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F2" i="2"/>
  <c r="F28" i="1"/>
  <c r="F24" i="1"/>
  <c r="F11" i="1"/>
  <c r="F10" i="1"/>
  <c r="D5" i="2" l="1"/>
  <c r="B5" i="2"/>
  <c r="D6" i="2"/>
  <c r="B6" i="2"/>
  <c r="B21" i="2"/>
  <c r="D21" i="2"/>
  <c r="B7" i="2"/>
  <c r="D7" i="2"/>
  <c r="B20" i="2"/>
  <c r="D20" i="2"/>
  <c r="B28" i="2"/>
  <c r="D28" i="2"/>
  <c r="D22" i="2"/>
  <c r="B22" i="2"/>
  <c r="B2" i="2"/>
  <c r="D2" i="2"/>
  <c r="B9" i="2"/>
  <c r="D9" i="2"/>
  <c r="B25" i="2"/>
  <c r="D25" i="2"/>
  <c r="B42" i="2"/>
  <c r="D41" i="2"/>
  <c r="B41" i="2"/>
  <c r="D36" i="2"/>
  <c r="B36" i="2"/>
  <c r="D37" i="2"/>
  <c r="B37" i="2"/>
  <c r="D38" i="2"/>
  <c r="B38" i="2"/>
  <c r="D11" i="2"/>
  <c r="B11" i="2"/>
  <c r="D16" i="2"/>
  <c r="B16" i="2"/>
  <c r="B27" i="2"/>
  <c r="D27" i="2"/>
  <c r="B29" i="2"/>
  <c r="D29" i="2"/>
  <c r="B24" i="2"/>
  <c r="D24" i="2"/>
  <c r="D4" i="2"/>
  <c r="B4" i="2"/>
  <c r="B12" i="2"/>
  <c r="D12" i="2"/>
  <c r="D30" i="2"/>
  <c r="B30" i="2"/>
  <c r="D23" i="2"/>
  <c r="B23" i="2"/>
  <c r="D15" i="2"/>
  <c r="B15" i="2"/>
  <c r="B17" i="2"/>
  <c r="D17" i="2"/>
  <c r="D26" i="2"/>
  <c r="B26" i="2"/>
  <c r="B40" i="2"/>
  <c r="D40" i="2"/>
  <c r="B39" i="2"/>
  <c r="D39" i="2"/>
  <c r="D43" i="2"/>
  <c r="B43" i="2"/>
  <c r="D3" i="2"/>
  <c r="B3" i="2"/>
  <c r="B14" i="2"/>
  <c r="D14" i="2"/>
  <c r="B10" i="2"/>
  <c r="D10" i="2"/>
  <c r="B31" i="2"/>
  <c r="D31" i="2"/>
  <c r="B18" i="2"/>
  <c r="D18" i="2"/>
  <c r="D19" i="2"/>
  <c r="B19" i="2"/>
  <c r="B13" i="2"/>
  <c r="D13" i="2"/>
  <c r="D8" i="2"/>
  <c r="B8" i="2"/>
  <c r="B24" i="1"/>
  <c r="D24" i="1"/>
  <c r="B28" i="1"/>
  <c r="D28" i="1"/>
  <c r="B10" i="1"/>
  <c r="D10" i="1"/>
  <c r="D11" i="1"/>
  <c r="B11" i="1"/>
  <c r="F44" i="2"/>
  <c r="F32" i="2"/>
  <c r="F19" i="30"/>
  <c r="F12" i="30"/>
  <c r="F15" i="32"/>
  <c r="F8" i="32"/>
  <c r="F28" i="34"/>
  <c r="F19" i="34"/>
  <c r="F17" i="33"/>
  <c r="F8" i="33"/>
  <c r="F14" i="39"/>
  <c r="G14" i="39"/>
  <c r="F25" i="36"/>
  <c r="F18" i="36"/>
  <c r="F29" i="31"/>
  <c r="F20" i="31"/>
  <c r="F21" i="29"/>
  <c r="F38" i="35"/>
  <c r="F26" i="35"/>
  <c r="F27" i="28"/>
  <c r="F20" i="28"/>
  <c r="F21" i="27"/>
  <c r="F12" i="27"/>
  <c r="F20" i="26"/>
  <c r="F10" i="26"/>
  <c r="F21" i="25"/>
  <c r="F41" i="9"/>
  <c r="F32" i="1" l="1"/>
  <c r="B19" i="30"/>
  <c r="F15" i="1"/>
  <c r="D15" i="1" s="1"/>
  <c r="B12" i="30"/>
  <c r="D25" i="36"/>
  <c r="B25" i="36"/>
  <c r="D18" i="36"/>
  <c r="B18" i="36"/>
  <c r="D20" i="31"/>
  <c r="B20" i="31"/>
  <c r="D38" i="35"/>
  <c r="B38" i="35"/>
  <c r="B26" i="35"/>
  <c r="D26" i="35"/>
  <c r="D15" i="32"/>
  <c r="B15" i="32"/>
  <c r="D8" i="32"/>
  <c r="B8" i="32"/>
  <c r="D21" i="29"/>
  <c r="B21" i="29"/>
  <c r="D41" i="9"/>
  <c r="B41" i="9"/>
  <c r="D14" i="39"/>
  <c r="B14" i="39"/>
  <c r="B29" i="31"/>
  <c r="D29" i="31"/>
  <c r="B17" i="33"/>
  <c r="D17" i="33"/>
  <c r="D8" i="33"/>
  <c r="B8" i="33"/>
  <c r="D27" i="28"/>
  <c r="B27" i="28"/>
  <c r="D20" i="28"/>
  <c r="B20" i="28"/>
  <c r="D21" i="27"/>
  <c r="B21" i="27"/>
  <c r="D12" i="27"/>
  <c r="B12" i="27"/>
  <c r="D28" i="34"/>
  <c r="B28" i="34"/>
  <c r="D19" i="34"/>
  <c r="B19" i="34"/>
  <c r="D44" i="2"/>
  <c r="B44" i="2"/>
  <c r="D20" i="26"/>
  <c r="B20" i="26"/>
  <c r="D10" i="26"/>
  <c r="B10" i="26"/>
  <c r="D32" i="2"/>
  <c r="B32" i="2"/>
  <c r="F27" i="1"/>
  <c r="F54" i="9"/>
  <c r="F6" i="1"/>
  <c r="F2" i="1"/>
  <c r="F23" i="1"/>
  <c r="F12" i="1"/>
  <c r="F29" i="1"/>
  <c r="F20" i="1"/>
  <c r="F8" i="1"/>
  <c r="F13" i="1"/>
  <c r="F4" i="1"/>
  <c r="F25" i="1"/>
  <c r="F30" i="1"/>
  <c r="F21" i="1"/>
  <c r="F9" i="1"/>
  <c r="F14" i="1"/>
  <c r="F7" i="1"/>
  <c r="F5" i="1"/>
  <c r="F26" i="1"/>
  <c r="F31" i="1"/>
  <c r="F22" i="1"/>
  <c r="F54" i="2"/>
  <c r="F53" i="2"/>
  <c r="F53" i="9"/>
  <c r="F3" i="1"/>
  <c r="H38" i="35"/>
  <c r="G6" i="2"/>
  <c r="G19" i="30"/>
  <c r="G12" i="30"/>
  <c r="H25" i="35"/>
  <c r="H26" i="35" s="1"/>
  <c r="G26" i="35"/>
  <c r="H26" i="9"/>
  <c r="H27" i="9" s="1"/>
  <c r="G27" i="9"/>
  <c r="G41" i="9"/>
  <c r="G29" i="31"/>
  <c r="G21" i="25"/>
  <c r="G20" i="31"/>
  <c r="G25" i="36"/>
  <c r="G18" i="36"/>
  <c r="G17" i="33"/>
  <c r="G8" i="33"/>
  <c r="G20" i="28"/>
  <c r="G26" i="28"/>
  <c r="G31" i="2"/>
  <c r="H19" i="28"/>
  <c r="G15" i="32"/>
  <c r="G8" i="32"/>
  <c r="G21" i="29"/>
  <c r="G28" i="34"/>
  <c r="G19" i="34"/>
  <c r="H18" i="34"/>
  <c r="G21" i="27"/>
  <c r="G12" i="27"/>
  <c r="G39" i="2"/>
  <c r="G40" i="2"/>
  <c r="G38" i="2"/>
  <c r="G37" i="2"/>
  <c r="G42" i="2"/>
  <c r="G36" i="2"/>
  <c r="G41" i="2"/>
  <c r="G4" i="2"/>
  <c r="G12" i="2"/>
  <c r="G13" i="2"/>
  <c r="G14" i="2"/>
  <c r="G17" i="2"/>
  <c r="G18" i="2"/>
  <c r="G24" i="2"/>
  <c r="G27" i="2"/>
  <c r="G29" i="2"/>
  <c r="G3" i="2"/>
  <c r="G8" i="2"/>
  <c r="G10" i="2"/>
  <c r="G15" i="2"/>
  <c r="G23" i="2"/>
  <c r="G26" i="2"/>
  <c r="G30" i="2"/>
  <c r="G11" i="2"/>
  <c r="G16" i="2"/>
  <c r="G19" i="2"/>
  <c r="G25" i="2"/>
  <c r="G7" i="2"/>
  <c r="G21" i="2"/>
  <c r="G2" i="2"/>
  <c r="G9" i="2"/>
  <c r="G20" i="2"/>
  <c r="G22" i="2"/>
  <c r="G28" i="2"/>
  <c r="G5" i="2"/>
  <c r="G30" i="1"/>
  <c r="G24" i="1"/>
  <c r="G26" i="1"/>
  <c r="G27" i="1"/>
  <c r="G4" i="1"/>
  <c r="G7" i="1"/>
  <c r="G14" i="1"/>
  <c r="G8" i="1"/>
  <c r="G28" i="1"/>
  <c r="G10" i="1"/>
  <c r="G11" i="1"/>
  <c r="G20" i="26"/>
  <c r="G10" i="26"/>
  <c r="H42" i="2"/>
  <c r="H27" i="1"/>
  <c r="H15" i="32"/>
  <c r="H31" i="1" s="1"/>
  <c r="H28" i="34"/>
  <c r="H30" i="1" s="1"/>
  <c r="H17" i="33"/>
  <c r="H29" i="1" s="1"/>
  <c r="H25" i="36"/>
  <c r="H26" i="1" s="1"/>
  <c r="H29" i="31"/>
  <c r="H25" i="1"/>
  <c r="H27" i="28"/>
  <c r="H22" i="1" s="1"/>
  <c r="H21" i="27"/>
  <c r="H21" i="1" s="1"/>
  <c r="H8" i="32"/>
  <c r="H14" i="1" s="1"/>
  <c r="H19" i="34"/>
  <c r="H13" i="1" s="1"/>
  <c r="H8" i="33"/>
  <c r="H18" i="36"/>
  <c r="H9" i="1" s="1"/>
  <c r="H20" i="31"/>
  <c r="H8" i="1" s="1"/>
  <c r="H21" i="29"/>
  <c r="H20" i="28"/>
  <c r="H12" i="27"/>
  <c r="H4" i="1" s="1"/>
  <c r="H39" i="2"/>
  <c r="H43" i="2"/>
  <c r="H40" i="2"/>
  <c r="H38" i="2"/>
  <c r="H37" i="2"/>
  <c r="H36" i="2"/>
  <c r="H41" i="2"/>
  <c r="H4" i="2"/>
  <c r="H12" i="2"/>
  <c r="H13" i="2"/>
  <c r="H14" i="2"/>
  <c r="H17" i="2"/>
  <c r="H18" i="2"/>
  <c r="H24" i="2"/>
  <c r="H27" i="2"/>
  <c r="H29" i="2"/>
  <c r="H3" i="2"/>
  <c r="H8" i="2"/>
  <c r="H10" i="2"/>
  <c r="H15" i="2"/>
  <c r="H23" i="2"/>
  <c r="H26" i="2"/>
  <c r="H30" i="2"/>
  <c r="H11" i="2"/>
  <c r="H16" i="2"/>
  <c r="H19" i="2"/>
  <c r="H25" i="2"/>
  <c r="H7" i="2"/>
  <c r="H21" i="2"/>
  <c r="H2" i="2"/>
  <c r="H9" i="2"/>
  <c r="H20" i="2"/>
  <c r="H22" i="2"/>
  <c r="H28" i="2"/>
  <c r="H6" i="2"/>
  <c r="H7" i="1"/>
  <c r="H12" i="1"/>
  <c r="H41" i="9"/>
  <c r="I42" i="2"/>
  <c r="H5" i="2"/>
  <c r="G10" i="40"/>
  <c r="H11" i="30"/>
  <c r="H31" i="2" s="1"/>
  <c r="I2" i="2"/>
  <c r="I3" i="2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G11" i="40"/>
  <c r="I36" i="2"/>
  <c r="I37" i="2"/>
  <c r="I38" i="2"/>
  <c r="I39" i="2"/>
  <c r="I40" i="2"/>
  <c r="I41" i="2"/>
  <c r="I43" i="2"/>
  <c r="G18" i="40"/>
  <c r="H21" i="25"/>
  <c r="H2" i="1" s="1"/>
  <c r="H10" i="26"/>
  <c r="H10" i="1"/>
  <c r="H11" i="1"/>
  <c r="H12" i="30"/>
  <c r="I21" i="25"/>
  <c r="I2" i="1" s="1"/>
  <c r="I10" i="26"/>
  <c r="I3" i="1" s="1"/>
  <c r="I12" i="27"/>
  <c r="I4" i="1" s="1"/>
  <c r="I20" i="28"/>
  <c r="I5" i="1" s="1"/>
  <c r="I26" i="35"/>
  <c r="I6" i="1" s="1"/>
  <c r="I21" i="29"/>
  <c r="I7" i="1" s="1"/>
  <c r="I20" i="31"/>
  <c r="I8" i="1" s="1"/>
  <c r="I18" i="36"/>
  <c r="I9" i="1" s="1"/>
  <c r="I10" i="1"/>
  <c r="I8" i="33"/>
  <c r="I12" i="1" s="1"/>
  <c r="I19" i="34"/>
  <c r="I13" i="1"/>
  <c r="I8" i="32"/>
  <c r="I14" i="1" s="1"/>
  <c r="I12" i="30"/>
  <c r="I15" i="1" s="1"/>
  <c r="H19" i="30"/>
  <c r="H28" i="1"/>
  <c r="I27" i="1"/>
  <c r="H20" i="26"/>
  <c r="I26" i="9"/>
  <c r="I27" i="9" s="1"/>
  <c r="I29" i="31"/>
  <c r="I25" i="1" s="1"/>
  <c r="H24" i="1"/>
  <c r="I27" i="28"/>
  <c r="I22" i="1" s="1"/>
  <c r="I19" i="30"/>
  <c r="I32" i="1" s="1"/>
  <c r="I15" i="32"/>
  <c r="I31" i="1" s="1"/>
  <c r="I28" i="34"/>
  <c r="I30" i="1" s="1"/>
  <c r="I25" i="36"/>
  <c r="I38" i="35"/>
  <c r="I21" i="27"/>
  <c r="I21" i="1" s="1"/>
  <c r="I20" i="26"/>
  <c r="I20" i="1" s="1"/>
  <c r="I26" i="1"/>
  <c r="I24" i="1"/>
  <c r="I41" i="9"/>
  <c r="J23" i="34"/>
  <c r="I17" i="33"/>
  <c r="J19" i="30"/>
  <c r="J32" i="1" s="1"/>
  <c r="J12" i="30"/>
  <c r="J15" i="1" s="1"/>
  <c r="J21" i="29"/>
  <c r="J7" i="1" s="1"/>
  <c r="J20" i="26"/>
  <c r="J20" i="1" s="1"/>
  <c r="J10" i="26"/>
  <c r="J3" i="1" s="1"/>
  <c r="J25" i="36"/>
  <c r="J26" i="1" s="1"/>
  <c r="J18" i="36"/>
  <c r="J41" i="9"/>
  <c r="J20" i="31"/>
  <c r="J8" i="1" s="1"/>
  <c r="J17" i="33"/>
  <c r="J8" i="33"/>
  <c r="J12" i="1" s="1"/>
  <c r="J15" i="32"/>
  <c r="J8" i="32"/>
  <c r="J14" i="1" s="1"/>
  <c r="J27" i="34"/>
  <c r="J26" i="34"/>
  <c r="J25" i="34"/>
  <c r="J24" i="34"/>
  <c r="J39" i="2" s="1"/>
  <c r="J36" i="2"/>
  <c r="J37" i="2"/>
  <c r="J38" i="2"/>
  <c r="J40" i="2"/>
  <c r="J41" i="2"/>
  <c r="J42" i="2"/>
  <c r="J27" i="9"/>
  <c r="J38" i="35"/>
  <c r="J26" i="35"/>
  <c r="J15" i="2"/>
  <c r="J27" i="28"/>
  <c r="J22" i="1" s="1"/>
  <c r="J20" i="28"/>
  <c r="J5" i="1" s="1"/>
  <c r="J18" i="34"/>
  <c r="J17" i="34"/>
  <c r="J30" i="2" s="1"/>
  <c r="J16" i="34"/>
  <c r="J31" i="2" s="1"/>
  <c r="J14" i="34"/>
  <c r="J11" i="34"/>
  <c r="J10" i="34"/>
  <c r="J17" i="2" s="1"/>
  <c r="J8" i="34"/>
  <c r="J14" i="2" s="1"/>
  <c r="J7" i="34"/>
  <c r="J6" i="34"/>
  <c r="J12" i="2" s="1"/>
  <c r="J3" i="34"/>
  <c r="J4" i="2" s="1"/>
  <c r="J2" i="34"/>
  <c r="J3" i="2" s="1"/>
  <c r="J21" i="25"/>
  <c r="J2" i="1" s="1"/>
  <c r="J14" i="39"/>
  <c r="J29" i="31"/>
  <c r="J25" i="1" s="1"/>
  <c r="J24" i="1"/>
  <c r="J10" i="1"/>
  <c r="J29" i="2"/>
  <c r="J28" i="2"/>
  <c r="J27" i="2"/>
  <c r="J26" i="2"/>
  <c r="J25" i="2"/>
  <c r="J24" i="2"/>
  <c r="J22" i="2"/>
  <c r="J21" i="2"/>
  <c r="J20" i="2"/>
  <c r="J19" i="2"/>
  <c r="J18" i="2"/>
  <c r="J16" i="2"/>
  <c r="J13" i="2"/>
  <c r="J11" i="2"/>
  <c r="J10" i="2"/>
  <c r="J9" i="2"/>
  <c r="J8" i="2"/>
  <c r="J7" i="2"/>
  <c r="J6" i="2"/>
  <c r="J5" i="2"/>
  <c r="J2" i="2"/>
  <c r="J12" i="27"/>
  <c r="J4" i="1"/>
  <c r="J21" i="27"/>
  <c r="K20" i="26"/>
  <c r="K20" i="1" s="1"/>
  <c r="K10" i="26"/>
  <c r="K27" i="34"/>
  <c r="K25" i="34"/>
  <c r="K24" i="34"/>
  <c r="K39" i="2" s="1"/>
  <c r="K23" i="34"/>
  <c r="K28" i="34" s="1"/>
  <c r="K30" i="1" s="1"/>
  <c r="K18" i="34"/>
  <c r="K17" i="34"/>
  <c r="K30" i="2" s="1"/>
  <c r="K16" i="34"/>
  <c r="K15" i="34"/>
  <c r="K14" i="34"/>
  <c r="K13" i="34"/>
  <c r="K11" i="34"/>
  <c r="K10" i="34"/>
  <c r="K17" i="2" s="1"/>
  <c r="K8" i="34"/>
  <c r="K14" i="2" s="1"/>
  <c r="K7" i="34"/>
  <c r="K6" i="34"/>
  <c r="K12" i="2" s="1"/>
  <c r="K4" i="34"/>
  <c r="K3" i="34"/>
  <c r="K4" i="2" s="1"/>
  <c r="K2" i="34"/>
  <c r="K3" i="2" s="1"/>
  <c r="K41" i="9"/>
  <c r="K26" i="9"/>
  <c r="K27" i="9" s="1"/>
  <c r="K27" i="28"/>
  <c r="K22" i="1" s="1"/>
  <c r="K20" i="28"/>
  <c r="K29" i="31"/>
  <c r="K25" i="1" s="1"/>
  <c r="K17" i="33"/>
  <c r="K29" i="1" s="1"/>
  <c r="K8" i="33"/>
  <c r="K12" i="1" s="1"/>
  <c r="K12" i="27"/>
  <c r="K4" i="1" s="1"/>
  <c r="K21" i="27"/>
  <c r="K21" i="1" s="1"/>
  <c r="K15" i="32"/>
  <c r="K31" i="1" s="1"/>
  <c r="K38" i="35"/>
  <c r="K23" i="1" s="1"/>
  <c r="K24" i="1"/>
  <c r="K25" i="36"/>
  <c r="K26" i="1"/>
  <c r="K27" i="1"/>
  <c r="K19" i="30"/>
  <c r="K32" i="1"/>
  <c r="K8" i="32"/>
  <c r="K14" i="1" s="1"/>
  <c r="K21" i="29"/>
  <c r="K23" i="2"/>
  <c r="K20" i="31"/>
  <c r="K21" i="25"/>
  <c r="K2" i="1" s="1"/>
  <c r="K12" i="30"/>
  <c r="K15" i="1" s="1"/>
  <c r="K26" i="35"/>
  <c r="K6" i="1"/>
  <c r="K42" i="2"/>
  <c r="K41" i="2"/>
  <c r="K40" i="2"/>
  <c r="K36" i="2"/>
  <c r="K37" i="2"/>
  <c r="K38" i="2"/>
  <c r="K29" i="2"/>
  <c r="K18" i="36"/>
  <c r="K25" i="2"/>
  <c r="K28" i="2"/>
  <c r="K27" i="2"/>
  <c r="K26" i="2"/>
  <c r="K24" i="2"/>
  <c r="K22" i="2"/>
  <c r="K21" i="2"/>
  <c r="K20" i="2"/>
  <c r="K19" i="2"/>
  <c r="K18" i="2"/>
  <c r="K16" i="2"/>
  <c r="K15" i="2"/>
  <c r="K13" i="2"/>
  <c r="K11" i="2"/>
  <c r="K10" i="2"/>
  <c r="K9" i="2"/>
  <c r="K7" i="2"/>
  <c r="K6" i="2"/>
  <c r="K5" i="2"/>
  <c r="K2" i="2"/>
  <c r="K10" i="1"/>
  <c r="L40" i="2"/>
  <c r="L41" i="2"/>
  <c r="L42" i="2"/>
  <c r="L36" i="2"/>
  <c r="L37" i="2"/>
  <c r="L38" i="2"/>
  <c r="L11" i="2"/>
  <c r="L13" i="2"/>
  <c r="L15" i="2"/>
  <c r="L16" i="2"/>
  <c r="L13" i="25"/>
  <c r="L18" i="2" s="1"/>
  <c r="L19" i="2"/>
  <c r="L24" i="2"/>
  <c r="L25" i="2"/>
  <c r="L8" i="2"/>
  <c r="L9" i="2"/>
  <c r="L26" i="2"/>
  <c r="L27" i="2"/>
  <c r="L28" i="2"/>
  <c r="L29" i="2"/>
  <c r="L5" i="2"/>
  <c r="L6" i="2"/>
  <c r="L7" i="2"/>
  <c r="L2" i="2"/>
  <c r="L20" i="2"/>
  <c r="L21" i="2"/>
  <c r="L22" i="2"/>
  <c r="L22" i="1"/>
  <c r="L24" i="1"/>
  <c r="L27" i="1"/>
  <c r="L32" i="1"/>
  <c r="L4" i="1"/>
  <c r="L21" i="29"/>
  <c r="L7" i="1" s="1"/>
  <c r="L10" i="1"/>
  <c r="L8" i="33"/>
  <c r="L12" i="1" s="1"/>
  <c r="L12" i="30"/>
  <c r="L15" i="1" s="1"/>
  <c r="L5" i="25"/>
  <c r="L10" i="2" s="1"/>
  <c r="L3" i="25"/>
  <c r="L3" i="2" s="1"/>
  <c r="L21" i="27"/>
  <c r="L21" i="1" s="1"/>
  <c r="L20" i="31"/>
  <c r="L8" i="1" s="1"/>
  <c r="L26" i="35"/>
  <c r="L6" i="1"/>
  <c r="L10" i="26"/>
  <c r="L3" i="1"/>
  <c r="L41" i="9"/>
  <c r="L20" i="26"/>
  <c r="L20" i="1" s="1"/>
  <c r="L15" i="32"/>
  <c r="L31" i="1" s="1"/>
  <c r="O8" i="32"/>
  <c r="O14" i="1" s="1"/>
  <c r="N8" i="32"/>
  <c r="N14" i="1" s="1"/>
  <c r="M8" i="32"/>
  <c r="M14" i="1" s="1"/>
  <c r="L8" i="32"/>
  <c r="L14" i="1" s="1"/>
  <c r="L2" i="25"/>
  <c r="L4" i="25"/>
  <c r="L8" i="25"/>
  <c r="L10" i="25"/>
  <c r="L14" i="2" s="1"/>
  <c r="L12" i="25"/>
  <c r="L17" i="2" s="1"/>
  <c r="L16" i="25"/>
  <c r="L23" i="2" s="1"/>
  <c r="L19" i="25"/>
  <c r="L31" i="2" s="1"/>
  <c r="L20" i="25"/>
  <c r="L20" i="28"/>
  <c r="L5" i="1" s="1"/>
  <c r="L18" i="36"/>
  <c r="L9" i="1" s="1"/>
  <c r="L6" i="34"/>
  <c r="L19" i="34" s="1"/>
  <c r="L13" i="1" s="1"/>
  <c r="L17" i="34"/>
  <c r="L30" i="2" s="1"/>
  <c r="L18" i="34"/>
  <c r="L17" i="33"/>
  <c r="L29" i="1" s="1"/>
  <c r="L27" i="9"/>
  <c r="L25" i="36"/>
  <c r="L26" i="1"/>
  <c r="L4" i="2"/>
  <c r="L23" i="34"/>
  <c r="L43" i="2" s="1"/>
  <c r="L24" i="34"/>
  <c r="L39" i="2" s="1"/>
  <c r="L25" i="1"/>
  <c r="M43" i="2"/>
  <c r="M40" i="2"/>
  <c r="M38" i="2"/>
  <c r="M37" i="2"/>
  <c r="M27" i="2"/>
  <c r="M24" i="2"/>
  <c r="M17" i="2"/>
  <c r="M14" i="2"/>
  <c r="M8" i="2"/>
  <c r="L38" i="35"/>
  <c r="L23" i="1" s="1"/>
  <c r="M15" i="32"/>
  <c r="M31" i="1" s="1"/>
  <c r="M28" i="34"/>
  <c r="M30" i="1" s="1"/>
  <c r="M17" i="33"/>
  <c r="M29" i="1" s="1"/>
  <c r="M14" i="39"/>
  <c r="M18" i="36"/>
  <c r="M9" i="1" s="1"/>
  <c r="M21" i="29"/>
  <c r="N21" i="29"/>
  <c r="N7" i="1"/>
  <c r="O21" i="29"/>
  <c r="O7" i="1" s="1"/>
  <c r="P21" i="29"/>
  <c r="P7" i="1" s="1"/>
  <c r="Q21" i="29"/>
  <c r="R21" i="29"/>
  <c r="R7" i="1"/>
  <c r="R21" i="25"/>
  <c r="R2" i="1"/>
  <c r="R10" i="26"/>
  <c r="R3" i="1" s="1"/>
  <c r="R12" i="27"/>
  <c r="R4" i="1" s="1"/>
  <c r="R20" i="28"/>
  <c r="R5" i="1" s="1"/>
  <c r="R26" i="35"/>
  <c r="R6" i="1" s="1"/>
  <c r="R20" i="31"/>
  <c r="R8" i="1" s="1"/>
  <c r="R18" i="36"/>
  <c r="R9" i="1"/>
  <c r="R10" i="1"/>
  <c r="R8" i="33"/>
  <c r="R12" i="1" s="1"/>
  <c r="R19" i="34"/>
  <c r="R13" i="1" s="1"/>
  <c r="R8" i="32"/>
  <c r="R14" i="1" s="1"/>
  <c r="R12" i="30"/>
  <c r="R15" i="1" s="1"/>
  <c r="S21" i="29"/>
  <c r="S7" i="1" s="1"/>
  <c r="T21" i="29"/>
  <c r="T7" i="1" s="1"/>
  <c r="U21" i="29"/>
  <c r="V21" i="29"/>
  <c r="V7" i="1" s="1"/>
  <c r="W21" i="29"/>
  <c r="N24" i="29"/>
  <c r="O24" i="29"/>
  <c r="M26" i="29"/>
  <c r="M24" i="1" s="1"/>
  <c r="N26" i="29"/>
  <c r="N24" i="1" s="1"/>
  <c r="O26" i="29"/>
  <c r="O24" i="1" s="1"/>
  <c r="P26" i="29"/>
  <c r="P24" i="1" s="1"/>
  <c r="Q26" i="29"/>
  <c r="Q24" i="1" s="1"/>
  <c r="R26" i="29"/>
  <c r="R24" i="1" s="1"/>
  <c r="S26" i="29"/>
  <c r="S24" i="1"/>
  <c r="T26" i="29"/>
  <c r="U26" i="29"/>
  <c r="V26" i="29"/>
  <c r="W26" i="29"/>
  <c r="M20" i="28"/>
  <c r="M5" i="1" s="1"/>
  <c r="M21" i="27"/>
  <c r="M21" i="1" s="1"/>
  <c r="M12" i="27"/>
  <c r="M4" i="1"/>
  <c r="M19" i="30"/>
  <c r="M32" i="1" s="1"/>
  <c r="M12" i="30"/>
  <c r="M21" i="25"/>
  <c r="M2" i="1" s="1"/>
  <c r="M41" i="9"/>
  <c r="R30" i="2"/>
  <c r="Q30" i="2"/>
  <c r="P30" i="2"/>
  <c r="O30" i="2"/>
  <c r="N30" i="2"/>
  <c r="M30" i="2"/>
  <c r="M27" i="1"/>
  <c r="M25" i="1"/>
  <c r="M10" i="1"/>
  <c r="M42" i="2"/>
  <c r="M41" i="2"/>
  <c r="M39" i="2"/>
  <c r="M36" i="2"/>
  <c r="M31" i="2"/>
  <c r="M29" i="2"/>
  <c r="M28" i="2"/>
  <c r="M26" i="2"/>
  <c r="M25" i="2"/>
  <c r="M23" i="2"/>
  <c r="M22" i="2"/>
  <c r="M21" i="2"/>
  <c r="M20" i="2"/>
  <c r="M19" i="2"/>
  <c r="M18" i="2"/>
  <c r="M16" i="2"/>
  <c r="M15" i="2"/>
  <c r="M13" i="2"/>
  <c r="M12" i="2"/>
  <c r="M11" i="2"/>
  <c r="M10" i="2"/>
  <c r="M9" i="2"/>
  <c r="M7" i="2"/>
  <c r="M6" i="2"/>
  <c r="M5" i="2"/>
  <c r="M4" i="2"/>
  <c r="M3" i="2"/>
  <c r="M2" i="2"/>
  <c r="N2" i="2"/>
  <c r="T4" i="2"/>
  <c r="S4" i="2"/>
  <c r="R4" i="2"/>
  <c r="Q4" i="2"/>
  <c r="P4" i="2"/>
  <c r="O4" i="2"/>
  <c r="N4" i="2"/>
  <c r="M19" i="34"/>
  <c r="M13" i="1" s="1"/>
  <c r="M27" i="28"/>
  <c r="M22" i="1" s="1"/>
  <c r="M20" i="31"/>
  <c r="M8" i="1" s="1"/>
  <c r="M20" i="26"/>
  <c r="M20" i="1"/>
  <c r="M10" i="26"/>
  <c r="M38" i="35"/>
  <c r="M23" i="1" s="1"/>
  <c r="M26" i="35"/>
  <c r="M6" i="1" s="1"/>
  <c r="M8" i="33"/>
  <c r="M12" i="1" s="1"/>
  <c r="M27" i="9"/>
  <c r="M25" i="36"/>
  <c r="M26" i="1" s="1"/>
  <c r="N12" i="30"/>
  <c r="N15" i="1" s="1"/>
  <c r="N12" i="27"/>
  <c r="N10" i="26"/>
  <c r="N3" i="1" s="1"/>
  <c r="N21" i="25"/>
  <c r="N43" i="2"/>
  <c r="N26" i="2"/>
  <c r="N24" i="2"/>
  <c r="N3" i="2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5" i="2"/>
  <c r="N27" i="2"/>
  <c r="N28" i="2"/>
  <c r="N29" i="2"/>
  <c r="N31" i="2"/>
  <c r="N42" i="2"/>
  <c r="N41" i="2"/>
  <c r="N40" i="2"/>
  <c r="N39" i="2"/>
  <c r="N38" i="2"/>
  <c r="N37" i="2"/>
  <c r="N36" i="2"/>
  <c r="S43" i="2"/>
  <c r="S36" i="2"/>
  <c r="S37" i="2"/>
  <c r="S38" i="2"/>
  <c r="S39" i="2"/>
  <c r="S40" i="2"/>
  <c r="S41" i="2"/>
  <c r="S42" i="2"/>
  <c r="R43" i="2"/>
  <c r="Q43" i="2"/>
  <c r="P43" i="2"/>
  <c r="O43" i="2"/>
  <c r="S30" i="2"/>
  <c r="N15" i="32"/>
  <c r="N31" i="1" s="1"/>
  <c r="N17" i="33"/>
  <c r="N29" i="1" s="1"/>
  <c r="N8" i="33"/>
  <c r="N25" i="36"/>
  <c r="N26" i="1"/>
  <c r="N18" i="36"/>
  <c r="N9" i="1" s="1"/>
  <c r="N28" i="34"/>
  <c r="N30" i="1" s="1"/>
  <c r="N19" i="34"/>
  <c r="N13" i="1"/>
  <c r="N41" i="9"/>
  <c r="N27" i="28"/>
  <c r="N22" i="1" s="1"/>
  <c r="N20" i="28"/>
  <c r="N5" i="1" s="1"/>
  <c r="N20" i="31"/>
  <c r="N8" i="1" s="1"/>
  <c r="N27" i="9"/>
  <c r="S23" i="1"/>
  <c r="N32" i="1"/>
  <c r="N27" i="1"/>
  <c r="N20" i="1"/>
  <c r="N10" i="1"/>
  <c r="N4" i="1"/>
  <c r="N38" i="35"/>
  <c r="N23" i="1" s="1"/>
  <c r="O38" i="35"/>
  <c r="O23" i="1" s="1"/>
  <c r="P38" i="35"/>
  <c r="P23" i="1" s="1"/>
  <c r="Q38" i="35"/>
  <c r="Q23" i="1" s="1"/>
  <c r="R38" i="35"/>
  <c r="R23" i="1"/>
  <c r="N26" i="35"/>
  <c r="N6" i="1" s="1"/>
  <c r="N25" i="1"/>
  <c r="N21" i="27"/>
  <c r="N21" i="1" s="1"/>
  <c r="N11" i="32"/>
  <c r="N22" i="34"/>
  <c r="N11" i="33"/>
  <c r="N12" i="39"/>
  <c r="N21" i="36"/>
  <c r="N23" i="31"/>
  <c r="N29" i="35"/>
  <c r="N23" i="28"/>
  <c r="N15" i="27"/>
  <c r="N35" i="2"/>
  <c r="N19" i="1"/>
  <c r="N30" i="9"/>
  <c r="O31" i="2"/>
  <c r="Q6" i="2"/>
  <c r="Q27" i="1"/>
  <c r="R27" i="1"/>
  <c r="S27" i="1"/>
  <c r="O42" i="2"/>
  <c r="O41" i="2"/>
  <c r="O40" i="2"/>
  <c r="O39" i="2"/>
  <c r="O38" i="2"/>
  <c r="O37" i="2"/>
  <c r="O36" i="2"/>
  <c r="O29" i="2"/>
  <c r="O28" i="2"/>
  <c r="O27" i="2"/>
  <c r="O25" i="2"/>
  <c r="O24" i="2"/>
  <c r="O23" i="2"/>
  <c r="O22" i="2"/>
  <c r="O21" i="2"/>
  <c r="O20" i="2"/>
  <c r="O19" i="2"/>
  <c r="O18" i="2"/>
  <c r="O17" i="2"/>
  <c r="O16" i="2"/>
  <c r="O15" i="2"/>
  <c r="O14" i="2"/>
  <c r="O13" i="2"/>
  <c r="O12" i="2"/>
  <c r="O11" i="2"/>
  <c r="O10" i="2"/>
  <c r="O9" i="2"/>
  <c r="O8" i="2"/>
  <c r="O7" i="2"/>
  <c r="O6" i="2"/>
  <c r="O5" i="2"/>
  <c r="O3" i="2"/>
  <c r="O2" i="2"/>
  <c r="O17" i="33"/>
  <c r="O29" i="1" s="1"/>
  <c r="O8" i="33"/>
  <c r="O12" i="1" s="1"/>
  <c r="O19" i="30"/>
  <c r="O32" i="1" s="1"/>
  <c r="O12" i="30"/>
  <c r="O15" i="1" s="1"/>
  <c r="O15" i="32"/>
  <c r="O31" i="1" s="1"/>
  <c r="O10" i="26"/>
  <c r="O3" i="1" s="1"/>
  <c r="O20" i="26"/>
  <c r="O20" i="1" s="1"/>
  <c r="O17" i="31"/>
  <c r="O21" i="25"/>
  <c r="O2" i="1"/>
  <c r="O12" i="27"/>
  <c r="O4" i="1" s="1"/>
  <c r="O20" i="28"/>
  <c r="O5" i="1"/>
  <c r="O26" i="35"/>
  <c r="O6" i="1" s="1"/>
  <c r="O18" i="36"/>
  <c r="O9" i="1" s="1"/>
  <c r="O10" i="1"/>
  <c r="O19" i="34"/>
  <c r="O13" i="1" s="1"/>
  <c r="O27" i="28"/>
  <c r="O41" i="9"/>
  <c r="O28" i="34"/>
  <c r="O30" i="1" s="1"/>
  <c r="O25" i="36"/>
  <c r="O26" i="1"/>
  <c r="O25" i="1"/>
  <c r="O27" i="9"/>
  <c r="O21" i="27"/>
  <c r="O21" i="1" s="1"/>
  <c r="O27" i="1"/>
  <c r="O15" i="30"/>
  <c r="O11" i="32"/>
  <c r="O22" i="34"/>
  <c r="O11" i="33"/>
  <c r="O12" i="39"/>
  <c r="O21" i="36"/>
  <c r="O23" i="31"/>
  <c r="O29" i="35"/>
  <c r="O23" i="28"/>
  <c r="O15" i="27"/>
  <c r="O14" i="26"/>
  <c r="O35" i="2"/>
  <c r="P35" i="2"/>
  <c r="O19" i="1"/>
  <c r="O30" i="9"/>
  <c r="S41" i="9"/>
  <c r="T41" i="9"/>
  <c r="U41" i="9"/>
  <c r="V41" i="9"/>
  <c r="W41" i="9"/>
  <c r="R41" i="9"/>
  <c r="P27" i="1"/>
  <c r="V10" i="1"/>
  <c r="W10" i="1"/>
  <c r="U10" i="1"/>
  <c r="T10" i="1"/>
  <c r="S10" i="1"/>
  <c r="Q10" i="1"/>
  <c r="P10" i="1"/>
  <c r="P17" i="33"/>
  <c r="P29" i="1" s="1"/>
  <c r="P8" i="33"/>
  <c r="P12" i="1" s="1"/>
  <c r="P21" i="25"/>
  <c r="P2" i="1" s="1"/>
  <c r="P42" i="2"/>
  <c r="P40" i="2"/>
  <c r="P39" i="2"/>
  <c r="P41" i="2"/>
  <c r="P38" i="2"/>
  <c r="P37" i="2"/>
  <c r="P36" i="2"/>
  <c r="P31" i="2"/>
  <c r="P29" i="2"/>
  <c r="P28" i="2"/>
  <c r="P27" i="2"/>
  <c r="P26" i="2"/>
  <c r="P25" i="2"/>
  <c r="P24" i="2"/>
  <c r="P23" i="2"/>
  <c r="P22" i="2"/>
  <c r="P21" i="2"/>
  <c r="P20" i="2"/>
  <c r="P19" i="2"/>
  <c r="P18" i="2"/>
  <c r="P17" i="2"/>
  <c r="P16" i="2"/>
  <c r="P15" i="2"/>
  <c r="P14" i="2"/>
  <c r="P13" i="2"/>
  <c r="P12" i="2"/>
  <c r="P11" i="2"/>
  <c r="P10" i="2"/>
  <c r="P9" i="2"/>
  <c r="P8" i="2"/>
  <c r="P7" i="2"/>
  <c r="P6" i="2"/>
  <c r="P5" i="2"/>
  <c r="P3" i="2"/>
  <c r="P2" i="2"/>
  <c r="P20" i="31"/>
  <c r="P8" i="1" s="1"/>
  <c r="P19" i="34"/>
  <c r="P13" i="1" s="1"/>
  <c r="P28" i="34"/>
  <c r="P30" i="1" s="1"/>
  <c r="P15" i="32"/>
  <c r="P31" i="1" s="1"/>
  <c r="P8" i="32"/>
  <c r="P14" i="1"/>
  <c r="P12" i="30"/>
  <c r="P15" i="1"/>
  <c r="P19" i="30"/>
  <c r="P32" i="1" s="1"/>
  <c r="P26" i="35"/>
  <c r="P6" i="1" s="1"/>
  <c r="P20" i="26"/>
  <c r="P20" i="1"/>
  <c r="P21" i="27"/>
  <c r="P21" i="1" s="1"/>
  <c r="P27" i="28"/>
  <c r="P22" i="1" s="1"/>
  <c r="P25" i="1"/>
  <c r="P25" i="36"/>
  <c r="P26" i="1" s="1"/>
  <c r="P10" i="26"/>
  <c r="P3" i="1"/>
  <c r="P12" i="27"/>
  <c r="P4" i="1"/>
  <c r="P18" i="36"/>
  <c r="P9" i="1" s="1"/>
  <c r="P20" i="28"/>
  <c r="P5" i="1" s="1"/>
  <c r="P41" i="9"/>
  <c r="Q41" i="9"/>
  <c r="P27" i="9"/>
  <c r="Q20" i="31"/>
  <c r="Q8" i="1" s="1"/>
  <c r="T43" i="2"/>
  <c r="Q21" i="27"/>
  <c r="Q21" i="1"/>
  <c r="Q12" i="27"/>
  <c r="Q4" i="1" s="1"/>
  <c r="Q42" i="2"/>
  <c r="Q41" i="2"/>
  <c r="Q40" i="2"/>
  <c r="Q39" i="2"/>
  <c r="Q38" i="2"/>
  <c r="Q37" i="2"/>
  <c r="Q36" i="2"/>
  <c r="Q31" i="2"/>
  <c r="Q29" i="2"/>
  <c r="Q28" i="2"/>
  <c r="Q27" i="2"/>
  <c r="Q26" i="2"/>
  <c r="Q25" i="2"/>
  <c r="Q24" i="2"/>
  <c r="Q23" i="2"/>
  <c r="Q22" i="2"/>
  <c r="Q21" i="2"/>
  <c r="Q20" i="2"/>
  <c r="Q19" i="2"/>
  <c r="Q18" i="2"/>
  <c r="Q17" i="2"/>
  <c r="Q16" i="2"/>
  <c r="Q15" i="2"/>
  <c r="Q14" i="2"/>
  <c r="Q13" i="2"/>
  <c r="Q12" i="2"/>
  <c r="Q11" i="2"/>
  <c r="Q10" i="2"/>
  <c r="Q9" i="2"/>
  <c r="Q8" i="2"/>
  <c r="Q7" i="2"/>
  <c r="Q5" i="2"/>
  <c r="Q3" i="2"/>
  <c r="Q2" i="2"/>
  <c r="R42" i="2"/>
  <c r="Q19" i="34"/>
  <c r="Q13" i="1"/>
  <c r="Q28" i="34"/>
  <c r="Q30" i="1" s="1"/>
  <c r="Q7" i="1"/>
  <c r="Q27" i="9"/>
  <c r="Q20" i="26"/>
  <c r="Q20" i="1" s="1"/>
  <c r="Q10" i="26"/>
  <c r="Q3" i="1" s="1"/>
  <c r="Q25" i="1"/>
  <c r="Q17" i="33"/>
  <c r="Q29" i="1" s="1"/>
  <c r="Q8" i="33"/>
  <c r="Q12" i="1" s="1"/>
  <c r="Q26" i="35"/>
  <c r="Q6" i="1" s="1"/>
  <c r="Q15" i="32"/>
  <c r="Q31" i="1" s="1"/>
  <c r="Q8" i="32"/>
  <c r="Q14" i="1" s="1"/>
  <c r="Q25" i="36"/>
  <c r="Q26" i="1" s="1"/>
  <c r="Q18" i="36"/>
  <c r="Q9" i="1"/>
  <c r="Q21" i="25"/>
  <c r="Q2" i="1" s="1"/>
  <c r="Q19" i="30"/>
  <c r="Q32" i="1" s="1"/>
  <c r="Q12" i="30"/>
  <c r="Q15" i="1" s="1"/>
  <c r="Q27" i="28"/>
  <c r="Q22" i="1"/>
  <c r="Q20" i="28"/>
  <c r="Q5" i="1" s="1"/>
  <c r="R20" i="26"/>
  <c r="R20" i="1" s="1"/>
  <c r="T42" i="2"/>
  <c r="T41" i="2"/>
  <c r="T40" i="2"/>
  <c r="T39" i="2"/>
  <c r="T38" i="2"/>
  <c r="T37" i="2"/>
  <c r="T36" i="2"/>
  <c r="R41" i="2"/>
  <c r="R40" i="2"/>
  <c r="R39" i="2"/>
  <c r="R38" i="2"/>
  <c r="R37" i="2"/>
  <c r="R36" i="2"/>
  <c r="T31" i="2"/>
  <c r="T29" i="2"/>
  <c r="T28" i="2"/>
  <c r="T27" i="2"/>
  <c r="T26" i="2"/>
  <c r="T25" i="2"/>
  <c r="T24" i="2"/>
  <c r="T23" i="2"/>
  <c r="T22" i="2"/>
  <c r="T21" i="2"/>
  <c r="T20" i="2"/>
  <c r="T19" i="2"/>
  <c r="T18" i="2"/>
  <c r="T17" i="2"/>
  <c r="T16" i="2"/>
  <c r="T15" i="2"/>
  <c r="T14" i="2"/>
  <c r="T13" i="2"/>
  <c r="T12" i="2"/>
  <c r="T11" i="2"/>
  <c r="T10" i="2"/>
  <c r="T9" i="2"/>
  <c r="T8" i="2"/>
  <c r="T7" i="2"/>
  <c r="T6" i="2"/>
  <c r="T5" i="2"/>
  <c r="T3" i="2"/>
  <c r="T2" i="2"/>
  <c r="S31" i="2"/>
  <c r="S29" i="2"/>
  <c r="S28" i="2"/>
  <c r="S27" i="2"/>
  <c r="S26" i="2"/>
  <c r="S25" i="2"/>
  <c r="S24" i="2"/>
  <c r="S23" i="2"/>
  <c r="S22" i="2"/>
  <c r="S21" i="2"/>
  <c r="S20" i="2"/>
  <c r="S19" i="2"/>
  <c r="S18" i="2"/>
  <c r="S17" i="2"/>
  <c r="S16" i="2"/>
  <c r="S15" i="2"/>
  <c r="S14" i="2"/>
  <c r="S13" i="2"/>
  <c r="S12" i="2"/>
  <c r="S11" i="2"/>
  <c r="S10" i="2"/>
  <c r="S9" i="2"/>
  <c r="S8" i="2"/>
  <c r="S7" i="2"/>
  <c r="S6" i="2"/>
  <c r="S5" i="2"/>
  <c r="S3" i="2"/>
  <c r="S2" i="2"/>
  <c r="R31" i="2"/>
  <c r="R29" i="2"/>
  <c r="R28" i="2"/>
  <c r="R27" i="2"/>
  <c r="R26" i="2"/>
  <c r="R25" i="2"/>
  <c r="R24" i="2"/>
  <c r="R23" i="2"/>
  <c r="R22" i="2"/>
  <c r="R21" i="2"/>
  <c r="R20" i="2"/>
  <c r="R19" i="2"/>
  <c r="R18" i="2"/>
  <c r="R17" i="2"/>
  <c r="R16" i="2"/>
  <c r="R15" i="2"/>
  <c r="R14" i="2"/>
  <c r="R13" i="2"/>
  <c r="R12" i="2"/>
  <c r="R11" i="2"/>
  <c r="R10" i="2"/>
  <c r="R9" i="2"/>
  <c r="R8" i="2"/>
  <c r="R7" i="2"/>
  <c r="R6" i="2"/>
  <c r="R5" i="2"/>
  <c r="R3" i="2"/>
  <c r="R2" i="2"/>
  <c r="R17" i="33"/>
  <c r="R29" i="1" s="1"/>
  <c r="R25" i="36"/>
  <c r="R26" i="1" s="1"/>
  <c r="R19" i="30"/>
  <c r="R32" i="1"/>
  <c r="R15" i="32"/>
  <c r="R31" i="1"/>
  <c r="R28" i="34"/>
  <c r="R30" i="1" s="1"/>
  <c r="R25" i="1"/>
  <c r="W21" i="27"/>
  <c r="W12" i="27"/>
  <c r="W4" i="1" s="1"/>
  <c r="R21" i="27"/>
  <c r="R21" i="1" s="1"/>
  <c r="R27" i="28"/>
  <c r="R22" i="1"/>
  <c r="R27" i="9"/>
  <c r="S27" i="9"/>
  <c r="S28" i="34"/>
  <c r="S30" i="1" s="1"/>
  <c r="S19" i="34"/>
  <c r="S13" i="1" s="1"/>
  <c r="S15" i="32"/>
  <c r="S31" i="1"/>
  <c r="S8" i="32"/>
  <c r="S14" i="1" s="1"/>
  <c r="S17" i="33"/>
  <c r="S29" i="1" s="1"/>
  <c r="S8" i="33"/>
  <c r="S12" i="1" s="1"/>
  <c r="S25" i="36"/>
  <c r="S26" i="1" s="1"/>
  <c r="S18" i="36"/>
  <c r="S9" i="1" s="1"/>
  <c r="S25" i="1"/>
  <c r="S20" i="31"/>
  <c r="S8" i="1" s="1"/>
  <c r="T26" i="35"/>
  <c r="T6" i="1" s="1"/>
  <c r="S26" i="35"/>
  <c r="S6" i="1" s="1"/>
  <c r="S27" i="28"/>
  <c r="S22" i="1" s="1"/>
  <c r="S20" i="28"/>
  <c r="S5" i="1" s="1"/>
  <c r="S20" i="26"/>
  <c r="S20" i="1"/>
  <c r="S21" i="27"/>
  <c r="S21" i="1" s="1"/>
  <c r="S19" i="30"/>
  <c r="S32" i="1" s="1"/>
  <c r="S12" i="27"/>
  <c r="S4" i="1" s="1"/>
  <c r="S10" i="26"/>
  <c r="S3" i="1"/>
  <c r="S21" i="25"/>
  <c r="S2" i="1" s="1"/>
  <c r="S12" i="30"/>
  <c r="S15" i="1" s="1"/>
  <c r="T27" i="9"/>
  <c r="U38" i="35"/>
  <c r="T38" i="35"/>
  <c r="T10" i="26"/>
  <c r="T3" i="1"/>
  <c r="T20" i="26"/>
  <c r="T17" i="33"/>
  <c r="T8" i="33"/>
  <c r="T12" i="1"/>
  <c r="T28" i="34"/>
  <c r="T17" i="34"/>
  <c r="T19" i="34" s="1"/>
  <c r="T13" i="1" s="1"/>
  <c r="T21" i="25"/>
  <c r="T2" i="1" s="1"/>
  <c r="T12" i="27"/>
  <c r="T4" i="1" s="1"/>
  <c r="T20" i="28"/>
  <c r="T5" i="1"/>
  <c r="T20" i="31"/>
  <c r="T8" i="1" s="1"/>
  <c r="T18" i="36"/>
  <c r="T9" i="1" s="1"/>
  <c r="T8" i="32"/>
  <c r="T14" i="1" s="1"/>
  <c r="T12" i="30"/>
  <c r="T15" i="1" s="1"/>
  <c r="T19" i="30"/>
  <c r="V21" i="27"/>
  <c r="U21" i="27"/>
  <c r="T21" i="27"/>
  <c r="T25" i="36"/>
  <c r="T33" i="1"/>
  <c r="T15" i="32"/>
  <c r="U26" i="35"/>
  <c r="U6" i="1" s="1"/>
  <c r="W25" i="36"/>
  <c r="V25" i="36"/>
  <c r="U25" i="36"/>
  <c r="W18" i="36"/>
  <c r="W9" i="1" s="1"/>
  <c r="V18" i="36"/>
  <c r="V9" i="1"/>
  <c r="U18" i="36"/>
  <c r="U9" i="1" s="1"/>
  <c r="W28" i="34"/>
  <c r="V28" i="34"/>
  <c r="U28" i="34"/>
  <c r="W19" i="34"/>
  <c r="W13" i="1"/>
  <c r="V19" i="34"/>
  <c r="V13" i="1" s="1"/>
  <c r="U19" i="34"/>
  <c r="U13" i="1" s="1"/>
  <c r="W17" i="33"/>
  <c r="V17" i="33"/>
  <c r="U17" i="33"/>
  <c r="W8" i="33"/>
  <c r="W12" i="1" s="1"/>
  <c r="V8" i="33"/>
  <c r="V12" i="1"/>
  <c r="U8" i="33"/>
  <c r="U12" i="1" s="1"/>
  <c r="W15" i="32"/>
  <c r="V15" i="32"/>
  <c r="U15" i="32"/>
  <c r="W8" i="32"/>
  <c r="W14" i="1" s="1"/>
  <c r="V8" i="32"/>
  <c r="V14" i="1" s="1"/>
  <c r="U8" i="32"/>
  <c r="U14" i="1" s="1"/>
  <c r="W20" i="31"/>
  <c r="W8" i="1" s="1"/>
  <c r="V20" i="31"/>
  <c r="V8" i="1"/>
  <c r="U20" i="31"/>
  <c r="U8" i="1" s="1"/>
  <c r="W20" i="26"/>
  <c r="V20" i="26"/>
  <c r="U20" i="26"/>
  <c r="W7" i="1"/>
  <c r="W12" i="30"/>
  <c r="W15" i="1" s="1"/>
  <c r="V12" i="30"/>
  <c r="V15" i="1" s="1"/>
  <c r="W18" i="30"/>
  <c r="U18" i="30"/>
  <c r="U19" i="30" s="1"/>
  <c r="W17" i="30"/>
  <c r="V19" i="30"/>
  <c r="U9" i="30"/>
  <c r="U12" i="30" s="1"/>
  <c r="U15" i="1" s="1"/>
  <c r="W26" i="28"/>
  <c r="W27" i="28" s="1"/>
  <c r="W24" i="28"/>
  <c r="U26" i="28"/>
  <c r="U27" i="28" s="1"/>
  <c r="V24" i="28"/>
  <c r="V27" i="28" s="1"/>
  <c r="U24" i="28"/>
  <c r="U15" i="28"/>
  <c r="U7" i="28"/>
  <c r="W20" i="28"/>
  <c r="W5" i="1" s="1"/>
  <c r="V20" i="28"/>
  <c r="V5" i="1"/>
  <c r="V12" i="27"/>
  <c r="V4" i="1" s="1"/>
  <c r="U12" i="27"/>
  <c r="U4" i="1" s="1"/>
  <c r="W10" i="26"/>
  <c r="W3" i="1" s="1"/>
  <c r="V10" i="26"/>
  <c r="V3" i="1"/>
  <c r="U10" i="26"/>
  <c r="U3" i="1" s="1"/>
  <c r="W21" i="25"/>
  <c r="W2" i="1" s="1"/>
  <c r="V21" i="25"/>
  <c r="V2" i="1" s="1"/>
  <c r="U21" i="25"/>
  <c r="U2" i="1" s="1"/>
  <c r="U33" i="1"/>
  <c r="V33" i="1"/>
  <c r="U27" i="9"/>
  <c r="V27" i="9"/>
  <c r="W27" i="9"/>
  <c r="W33" i="1"/>
  <c r="U7" i="1"/>
  <c r="O22" i="1"/>
  <c r="N12" i="1"/>
  <c r="N2" i="1"/>
  <c r="M3" i="1"/>
  <c r="M7" i="1"/>
  <c r="M15" i="1"/>
  <c r="K8" i="1"/>
  <c r="K9" i="1"/>
  <c r="K7" i="1"/>
  <c r="J23" i="2"/>
  <c r="K5" i="1"/>
  <c r="K8" i="2"/>
  <c r="K3" i="1"/>
  <c r="J21" i="1"/>
  <c r="O26" i="2"/>
  <c r="O20" i="31"/>
  <c r="O8" i="1" s="1"/>
  <c r="J23" i="1"/>
  <c r="J6" i="1"/>
  <c r="J29" i="1"/>
  <c r="J31" i="1"/>
  <c r="J27" i="1"/>
  <c r="J9" i="1"/>
  <c r="I23" i="1"/>
  <c r="I29" i="1"/>
  <c r="F16" i="1" l="1"/>
  <c r="D2" i="1"/>
  <c r="B2" i="1"/>
  <c r="D26" i="1"/>
  <c r="B26" i="1"/>
  <c r="D4" i="1"/>
  <c r="B4" i="1"/>
  <c r="D6" i="1"/>
  <c r="B6" i="1"/>
  <c r="D3" i="1"/>
  <c r="B3" i="1"/>
  <c r="D7" i="1"/>
  <c r="B7" i="1"/>
  <c r="D8" i="1"/>
  <c r="B8" i="1"/>
  <c r="B27" i="1"/>
  <c r="B31" i="1"/>
  <c r="D31" i="1"/>
  <c r="B14" i="1"/>
  <c r="D14" i="1"/>
  <c r="B20" i="1"/>
  <c r="D20" i="1"/>
  <c r="D25" i="1"/>
  <c r="B25" i="1"/>
  <c r="B13" i="1"/>
  <c r="D13" i="1"/>
  <c r="B9" i="1"/>
  <c r="D9" i="1"/>
  <c r="D29" i="1"/>
  <c r="B29" i="1"/>
  <c r="D5" i="1"/>
  <c r="B5" i="1"/>
  <c r="D21" i="1"/>
  <c r="B21" i="1"/>
  <c r="D12" i="1"/>
  <c r="B12" i="1"/>
  <c r="D22" i="1"/>
  <c r="B22" i="1"/>
  <c r="D30" i="1"/>
  <c r="B30" i="1"/>
  <c r="D23" i="1"/>
  <c r="B23" i="1"/>
  <c r="U20" i="28"/>
  <c r="U5" i="1" s="1"/>
  <c r="G25" i="1"/>
  <c r="W19" i="30"/>
  <c r="L28" i="34"/>
  <c r="L30" i="1" s="1"/>
  <c r="K43" i="2"/>
  <c r="K44" i="2" s="1"/>
  <c r="T30" i="2"/>
  <c r="L21" i="25"/>
  <c r="L2" i="1" s="1"/>
  <c r="L16" i="1" s="1"/>
  <c r="K19" i="34"/>
  <c r="K13" i="1" s="1"/>
  <c r="F33" i="1"/>
  <c r="J19" i="34"/>
  <c r="J13" i="1" s="1"/>
  <c r="J16" i="1" s="1"/>
  <c r="G31" i="1"/>
  <c r="G43" i="2"/>
  <c r="G44" i="2" s="1"/>
  <c r="G32" i="1"/>
  <c r="G15" i="1"/>
  <c r="P32" i="2"/>
  <c r="I44" i="2"/>
  <c r="Q44" i="2"/>
  <c r="L44" i="2"/>
  <c r="R44" i="2"/>
  <c r="P44" i="2"/>
  <c r="Q32" i="2"/>
  <c r="H44" i="2"/>
  <c r="T44" i="2"/>
  <c r="S32" i="2"/>
  <c r="S44" i="2"/>
  <c r="N32" i="2"/>
  <c r="M44" i="2"/>
  <c r="T16" i="1"/>
  <c r="M33" i="1"/>
  <c r="W16" i="1"/>
  <c r="L33" i="1"/>
  <c r="V16" i="1"/>
  <c r="O16" i="1"/>
  <c r="I33" i="1"/>
  <c r="G53" i="9"/>
  <c r="G5" i="1"/>
  <c r="G9" i="1"/>
  <c r="G29" i="1"/>
  <c r="G12" i="1"/>
  <c r="G20" i="1"/>
  <c r="G3" i="1"/>
  <c r="H6" i="1"/>
  <c r="Q16" i="1"/>
  <c r="K16" i="1"/>
  <c r="R32" i="2"/>
  <c r="T32" i="2"/>
  <c r="O32" i="2"/>
  <c r="M32" i="2"/>
  <c r="I16" i="1"/>
  <c r="H32" i="2"/>
  <c r="R33" i="1"/>
  <c r="K31" i="2"/>
  <c r="K32" i="2" s="1"/>
  <c r="H15" i="1"/>
  <c r="R16" i="1"/>
  <c r="L12" i="2"/>
  <c r="L32" i="2" s="1"/>
  <c r="P33" i="1"/>
  <c r="N16" i="1"/>
  <c r="S33" i="1"/>
  <c r="O33" i="1"/>
  <c r="N33" i="1"/>
  <c r="J32" i="2"/>
  <c r="J28" i="34"/>
  <c r="J30" i="1" s="1"/>
  <c r="J33" i="1" s="1"/>
  <c r="P16" i="1"/>
  <c r="O44" i="2"/>
  <c r="N44" i="2"/>
  <c r="M16" i="1"/>
  <c r="K33" i="1"/>
  <c r="J43" i="2"/>
  <c r="J44" i="2" s="1"/>
  <c r="H20" i="1"/>
  <c r="I32" i="2"/>
  <c r="Q33" i="1"/>
  <c r="U16" i="1"/>
  <c r="S16" i="1"/>
  <c r="G6" i="1"/>
  <c r="H32" i="1"/>
  <c r="H23" i="1"/>
  <c r="G32" i="2"/>
  <c r="H3" i="1"/>
  <c r="G27" i="28"/>
  <c r="G13" i="1"/>
  <c r="H5" i="1"/>
  <c r="G2" i="1"/>
  <c r="G38" i="35"/>
  <c r="G21" i="1"/>
  <c r="D33" i="1" l="1"/>
  <c r="B33" i="1"/>
  <c r="D16" i="1"/>
  <c r="B16" i="1"/>
  <c r="G54" i="9"/>
  <c r="G54" i="2"/>
  <c r="G23" i="1"/>
  <c r="H33" i="1"/>
  <c r="G16" i="1"/>
  <c r="H16" i="1"/>
  <c r="G22" i="1"/>
  <c r="G33" i="1" l="1"/>
  <c r="G53" i="2" l="1"/>
</calcChain>
</file>

<file path=xl/sharedStrings.xml><?xml version="1.0" encoding="utf-8"?>
<sst xmlns="http://schemas.openxmlformats.org/spreadsheetml/2006/main" count="552" uniqueCount="185">
  <si>
    <t>Belgium</t>
  </si>
  <si>
    <t>The Netherlands</t>
  </si>
  <si>
    <t>Elstar</t>
  </si>
  <si>
    <t>Golden Delicious</t>
  </si>
  <si>
    <t>Boskoop</t>
  </si>
  <si>
    <t>Cox Orange</t>
  </si>
  <si>
    <t>Other</t>
  </si>
  <si>
    <t>Conference</t>
  </si>
  <si>
    <t>Austria (Steiermark)</t>
  </si>
  <si>
    <t>Gala</t>
  </si>
  <si>
    <t>Idared</t>
  </si>
  <si>
    <t>Braeburn</t>
  </si>
  <si>
    <t>Fuji</t>
  </si>
  <si>
    <t>Pinova</t>
  </si>
  <si>
    <t>Gloster</t>
  </si>
  <si>
    <t>Holsteiner Cox</t>
  </si>
  <si>
    <t>Italy</t>
  </si>
  <si>
    <t>Granny Smith</t>
  </si>
  <si>
    <t>Morgendurf/imperat</t>
  </si>
  <si>
    <t>Red Delicious</t>
  </si>
  <si>
    <t>Annurca</t>
  </si>
  <si>
    <t>Stayman</t>
  </si>
  <si>
    <t>Pink Lady</t>
  </si>
  <si>
    <t>TOTAL</t>
  </si>
  <si>
    <t>Apple Stocks (Ton)</t>
  </si>
  <si>
    <t>Pear Stocks (Ton)</t>
  </si>
  <si>
    <t>Jonagored</t>
  </si>
  <si>
    <t>Jonagold</t>
  </si>
  <si>
    <t>Germany</t>
  </si>
  <si>
    <t>Cameo</t>
  </si>
  <si>
    <t>Kaiser</t>
  </si>
  <si>
    <t>Czech Republic</t>
  </si>
  <si>
    <t>Poland</t>
  </si>
  <si>
    <t>Cortland</t>
  </si>
  <si>
    <t>Lobo</t>
  </si>
  <si>
    <t>Spartan</t>
  </si>
  <si>
    <t>Bramley</t>
  </si>
  <si>
    <t>Spain (Catalonia)</t>
  </si>
  <si>
    <t>Alexandrina</t>
  </si>
  <si>
    <t>Blanquilla</t>
  </si>
  <si>
    <t>Denmark</t>
  </si>
  <si>
    <t>Anjou</t>
  </si>
  <si>
    <t>Bosc</t>
  </si>
  <si>
    <t>Red Anjou</t>
  </si>
  <si>
    <t>Comice</t>
  </si>
  <si>
    <t>Seckel</t>
  </si>
  <si>
    <t>Other Reds</t>
  </si>
  <si>
    <t>Northwest Bartletts (Williams)</t>
  </si>
  <si>
    <t>Other Winter Varities</t>
  </si>
  <si>
    <t>Empire</t>
  </si>
  <si>
    <t>Jonathan</t>
  </si>
  <si>
    <t>McIntosh</t>
  </si>
  <si>
    <t>Mutsu/Crispin</t>
  </si>
  <si>
    <t>Newtown Pippin</t>
  </si>
  <si>
    <t>Northern Spy</t>
  </si>
  <si>
    <t>Rome</t>
  </si>
  <si>
    <t>Rome Sport</t>
  </si>
  <si>
    <t>Winesap</t>
  </si>
  <si>
    <t>York</t>
  </si>
  <si>
    <t>Others</t>
  </si>
  <si>
    <t>Switzerland</t>
  </si>
  <si>
    <t>Cripps Pink</t>
  </si>
  <si>
    <t>Content:</t>
  </si>
  <si>
    <t>US situation</t>
  </si>
  <si>
    <t>European situation per country</t>
  </si>
  <si>
    <t xml:space="preserve">Sources: </t>
  </si>
  <si>
    <t>US:</t>
  </si>
  <si>
    <t>Washington Apple Commission, Pear Bureau Northwest</t>
  </si>
  <si>
    <t>Austria:</t>
  </si>
  <si>
    <t>Landeskammer für Land- und Forstwirtschaft Steiermark</t>
  </si>
  <si>
    <t>Belgium:</t>
  </si>
  <si>
    <t>VBT</t>
  </si>
  <si>
    <t>Czech Republic:</t>
  </si>
  <si>
    <t>SAPA</t>
  </si>
  <si>
    <t>France:</t>
  </si>
  <si>
    <t>Germany:</t>
  </si>
  <si>
    <t>Italy:</t>
  </si>
  <si>
    <t>ASSOMELA, CSO</t>
  </si>
  <si>
    <t>Poland:</t>
  </si>
  <si>
    <t>Switzerland:</t>
  </si>
  <si>
    <t>Spain:</t>
  </si>
  <si>
    <t>The Netherlands:</t>
  </si>
  <si>
    <t>United Kingdom:</t>
  </si>
  <si>
    <t>Productschap Tuinbouw</t>
  </si>
  <si>
    <t>SWISSCOFEL</t>
  </si>
  <si>
    <t>SOCIETY FOR PROMOTION OF DWARF FRUIT ORCHARDS</t>
  </si>
  <si>
    <t>Central Institute for Supervising and Testing in Agriculture, Division of perennial plants</t>
  </si>
  <si>
    <t>Other new varieties³</t>
  </si>
  <si>
    <t>Reinette Grise du Canada</t>
  </si>
  <si>
    <t>Shampion</t>
  </si>
  <si>
    <t>European situation per variety</t>
  </si>
  <si>
    <t>Variety (Ton)</t>
  </si>
  <si>
    <t>Total</t>
  </si>
  <si>
    <t>Doyenne du comice</t>
  </si>
  <si>
    <t>Arlet</t>
  </si>
  <si>
    <t>Kronprinz Rudolf</t>
  </si>
  <si>
    <t>Topaz</t>
  </si>
  <si>
    <t>Bellida</t>
  </si>
  <si>
    <t>Pigoen</t>
  </si>
  <si>
    <t>Ingrid Marie</t>
  </si>
  <si>
    <t>Doyenne</t>
  </si>
  <si>
    <t>Gloster*</t>
  </si>
  <si>
    <t>* From 2007 Gloster is included in others</t>
  </si>
  <si>
    <t>Abate Fetel</t>
  </si>
  <si>
    <t>Decana del C.</t>
  </si>
  <si>
    <t>Morgenduft</t>
  </si>
  <si>
    <t>Renette</t>
  </si>
  <si>
    <t>Jonagold (incl. Jonagored)</t>
  </si>
  <si>
    <t>Fuji Group</t>
  </si>
  <si>
    <t>Gala Group</t>
  </si>
  <si>
    <t>Golden Group</t>
  </si>
  <si>
    <t>Llimonera</t>
  </si>
  <si>
    <t>Glockenapfel</t>
  </si>
  <si>
    <t>Kanada Reinette</t>
  </si>
  <si>
    <t>Maigold</t>
  </si>
  <si>
    <t>Rubinette</t>
  </si>
  <si>
    <t>Boscs Flaschenbirne</t>
  </si>
  <si>
    <t>Gute Luise</t>
  </si>
  <si>
    <t>European countries by variety</t>
  </si>
  <si>
    <t>Reine de renettes</t>
  </si>
  <si>
    <t>Ariane</t>
  </si>
  <si>
    <t>Pear Stocks  (Ton)</t>
  </si>
  <si>
    <t>Reinette</t>
  </si>
  <si>
    <t>Other new varieties*</t>
  </si>
  <si>
    <t>Tentation</t>
  </si>
  <si>
    <t>Belchard/Chantecler</t>
  </si>
  <si>
    <t>Rouges</t>
  </si>
  <si>
    <t>Jazz</t>
  </si>
  <si>
    <t>Honey Crunch</t>
  </si>
  <si>
    <t>Sundowner</t>
  </si>
  <si>
    <t>AMI</t>
  </si>
  <si>
    <t>ANPP</t>
  </si>
  <si>
    <t>JANUARY</t>
  </si>
  <si>
    <t>France</t>
  </si>
  <si>
    <t>Red Jonaprince</t>
  </si>
  <si>
    <t>Other new varieties</t>
  </si>
  <si>
    <t>Denmark:</t>
  </si>
  <si>
    <t>Goldrush</t>
  </si>
  <si>
    <t>Angelys</t>
  </si>
  <si>
    <t>Beurré Hardy</t>
  </si>
  <si>
    <t>Guyot</t>
  </si>
  <si>
    <t>Passe Crassane</t>
  </si>
  <si>
    <t>Williams</t>
  </si>
  <si>
    <t>Club varieties</t>
  </si>
  <si>
    <t>Evelina</t>
  </si>
  <si>
    <t>Choupette</t>
  </si>
  <si>
    <t>Portugal:</t>
  </si>
  <si>
    <t>ANP - Associação Nacional de Produtores de Pera Rocha</t>
  </si>
  <si>
    <t>Conconrde</t>
  </si>
  <si>
    <t>Doyenne du Comice</t>
  </si>
  <si>
    <t>Golden Delicius</t>
  </si>
  <si>
    <t>Rocha</t>
  </si>
  <si>
    <t>Portugal</t>
  </si>
  <si>
    <t xml:space="preserve">* Other new varieties: Ariane, Belgica, Cameo, Diwa, Evelina, Greenstar, Goldrush, Honey Crunch, Jazz, Junami, Kanzi, Kiku, Mairac, Rubens, Tentation (temptation), Wellant, ... </t>
  </si>
  <si>
    <t>Bohemica</t>
  </si>
  <si>
    <t>Lucasova</t>
  </si>
  <si>
    <t>AFRUCAT</t>
  </si>
  <si>
    <t>Ligol</t>
  </si>
  <si>
    <t>** From 12/2014 Cox's is included in others</t>
  </si>
  <si>
    <t>Cox**</t>
  </si>
  <si>
    <t>Honeycrisp</t>
  </si>
  <si>
    <t>* Rocha stocks are compared per two months, in this case to stocks of 1 November</t>
  </si>
  <si>
    <t>* Portugal: Rocha stocks are compared per two months, in this case to stocks of 1 November</t>
  </si>
  <si>
    <t>Durondeau</t>
  </si>
  <si>
    <t>Williams*</t>
  </si>
  <si>
    <t>*Separate category since 2015</t>
  </si>
  <si>
    <t>Forelle</t>
  </si>
  <si>
    <t>*Stocks for Portugal are provided every two months, therefore these are compared to the stocks of November</t>
  </si>
  <si>
    <t>* figuers for 2017 are from mid-December</t>
  </si>
  <si>
    <t>United Kingdom**</t>
  </si>
  <si>
    <t>** As of the 2016/ 2017 season, the UK works with a different methodology, which is why the figures are not comparable.</t>
  </si>
  <si>
    <t>English Apples &amp; Pears/British Growers Assocation</t>
  </si>
  <si>
    <t>Cosmic Crisp</t>
  </si>
  <si>
    <t>Elstar, Gloster, Idared, Jonathan and Stayman have been included in 'Others'</t>
  </si>
  <si>
    <t xml:space="preserve">Please note that the figures per variety are just an estimation </t>
  </si>
  <si>
    <t>Slovakia</t>
  </si>
  <si>
    <t>Beurre Alexander Lucas**</t>
  </si>
  <si>
    <t>Bushels to T</t>
  </si>
  <si>
    <t>*** Starting from the 2022-2023 season, Italian pears work with a different methodology, which is why the figures are not comparable with previous years.</t>
  </si>
  <si>
    <t>Starting from the 2022-2023 season, Italian pears work with a different methodology, which is why the figures are not comparable with previous years.</t>
  </si>
  <si>
    <t>Moved 2024</t>
  </si>
  <si>
    <t>United Kingdom</t>
  </si>
  <si>
    <t>YOY%</t>
  </si>
  <si>
    <t>Moved 2025</t>
  </si>
  <si>
    <t>Overview Northern Hemisphere apple and pear stocks 2024-2025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</si>
</sst>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_-* #,##0\ _€_-;\-* #,##0\ _€_-;_-* &quot;-&quot;??\ _€_-;_-@_-"/>
  </numFmts>
  <fonts count="14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4"/>
      <name val="Arial"/>
      <family val="2"/>
    </font>
    <font>
      <u/>
      <sz val="14"/>
      <name val="Arial"/>
      <family val="2"/>
    </font>
    <font>
      <i/>
      <sz val="14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  <charset val="238"/>
    </font>
    <font>
      <sz val="10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0"/>
      <color rgb="FFFF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C7CE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8">
    <xf numFmtId="0" fontId="0" fillId="0" borderId="0"/>
    <xf numFmtId="0" fontId="12" fillId="4" borderId="0" applyNumberFormat="0" applyBorder="0" applyAlignment="0" applyProtection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11" fillId="0" borderId="0"/>
  </cellStyleXfs>
  <cellXfs count="168">
    <xf numFmtId="0" fontId="0" fillId="0" borderId="0" xfId="0"/>
    <xf numFmtId="3" fontId="0" fillId="0" borderId="0" xfId="0" applyNumberFormat="1"/>
    <xf numFmtId="3" fontId="1" fillId="0" borderId="0" xfId="0" applyNumberFormat="1" applyFont="1"/>
    <xf numFmtId="0" fontId="3" fillId="0" borderId="0" xfId="0" applyFont="1"/>
    <xf numFmtId="0" fontId="0" fillId="0" borderId="1" xfId="0" applyBorder="1"/>
    <xf numFmtId="0" fontId="4" fillId="0" borderId="0" xfId="0" applyFont="1"/>
    <xf numFmtId="0" fontId="5" fillId="0" borderId="0" xfId="0" applyFont="1"/>
    <xf numFmtId="0" fontId="6" fillId="0" borderId="0" xfId="0" applyFont="1"/>
    <xf numFmtId="0" fontId="1" fillId="0" borderId="0" xfId="0" applyFont="1"/>
    <xf numFmtId="3" fontId="0" fillId="0" borderId="1" xfId="0" applyNumberFormat="1" applyBorder="1"/>
    <xf numFmtId="3" fontId="0" fillId="0" borderId="0" xfId="0" applyNumberFormat="1" applyAlignment="1">
      <alignment horizontal="center"/>
    </xf>
    <xf numFmtId="0" fontId="1" fillId="0" borderId="0" xfId="0" applyFont="1" applyAlignment="1">
      <alignment vertical="center"/>
    </xf>
    <xf numFmtId="9" fontId="0" fillId="0" borderId="0" xfId="0" applyNumberFormat="1" applyAlignment="1">
      <alignment horizontal="center"/>
    </xf>
    <xf numFmtId="9" fontId="1" fillId="0" borderId="0" xfId="0" applyNumberFormat="1" applyFont="1" applyAlignment="1">
      <alignment horizontal="center" vertical="center"/>
    </xf>
    <xf numFmtId="0" fontId="0" fillId="0" borderId="0" xfId="0" quotePrefix="1"/>
    <xf numFmtId="0" fontId="7" fillId="0" borderId="0" xfId="0" applyFont="1"/>
    <xf numFmtId="0" fontId="0" fillId="2" borderId="2" xfId="0" applyFill="1" applyBorder="1"/>
    <xf numFmtId="0" fontId="0" fillId="2" borderId="2" xfId="0" quotePrefix="1" applyFill="1" applyBorder="1"/>
    <xf numFmtId="0" fontId="0" fillId="2" borderId="3" xfId="0" quotePrefix="1" applyFill="1" applyBorder="1"/>
    <xf numFmtId="0" fontId="1" fillId="2" borderId="4" xfId="0" applyFont="1" applyFill="1" applyBorder="1"/>
    <xf numFmtId="0" fontId="1" fillId="3" borderId="5" xfId="0" applyFont="1" applyFill="1" applyBorder="1"/>
    <xf numFmtId="14" fontId="1" fillId="0" borderId="5" xfId="0" applyNumberFormat="1" applyFont="1" applyBorder="1" applyAlignment="1">
      <alignment horizontal="center"/>
    </xf>
    <xf numFmtId="14" fontId="1" fillId="0" borderId="6" xfId="0" applyNumberFormat="1" applyFont="1" applyBorder="1" applyAlignment="1">
      <alignment horizontal="center"/>
    </xf>
    <xf numFmtId="164" fontId="0" fillId="3" borderId="0" xfId="0" applyNumberFormat="1" applyFill="1"/>
    <xf numFmtId="164" fontId="0" fillId="3" borderId="1" xfId="0" applyNumberFormat="1" applyFill="1" applyBorder="1"/>
    <xf numFmtId="3" fontId="0" fillId="0" borderId="7" xfId="0" applyNumberFormat="1" applyBorder="1"/>
    <xf numFmtId="0" fontId="0" fillId="2" borderId="3" xfId="0" applyFill="1" applyBorder="1"/>
    <xf numFmtId="3" fontId="0" fillId="0" borderId="8" xfId="0" applyNumberFormat="1" applyBorder="1"/>
    <xf numFmtId="0" fontId="1" fillId="2" borderId="3" xfId="0" applyFont="1" applyFill="1" applyBorder="1"/>
    <xf numFmtId="164" fontId="1" fillId="3" borderId="1" xfId="0" applyNumberFormat="1" applyFont="1" applyFill="1" applyBorder="1"/>
    <xf numFmtId="3" fontId="1" fillId="0" borderId="1" xfId="0" applyNumberFormat="1" applyFont="1" applyBorder="1"/>
    <xf numFmtId="3" fontId="1" fillId="0" borderId="8" xfId="0" applyNumberFormat="1" applyFont="1" applyBorder="1"/>
    <xf numFmtId="164" fontId="0" fillId="0" borderId="0" xfId="0" applyNumberFormat="1"/>
    <xf numFmtId="0" fontId="1" fillId="0" borderId="0" xfId="0" applyFont="1" applyAlignment="1">
      <alignment horizontal="center"/>
    </xf>
    <xf numFmtId="3" fontId="3" fillId="0" borderId="1" xfId="0" applyNumberFormat="1" applyFont="1" applyBorder="1"/>
    <xf numFmtId="3" fontId="3" fillId="0" borderId="0" xfId="0" applyNumberFormat="1" applyFont="1"/>
    <xf numFmtId="0" fontId="1" fillId="5" borderId="4" xfId="0" applyFont="1" applyFill="1" applyBorder="1"/>
    <xf numFmtId="0" fontId="3" fillId="5" borderId="2" xfId="0" applyFont="1" applyFill="1" applyBorder="1"/>
    <xf numFmtId="0" fontId="3" fillId="5" borderId="3" xfId="0" applyFont="1" applyFill="1" applyBorder="1"/>
    <xf numFmtId="0" fontId="1" fillId="5" borderId="3" xfId="0" applyFont="1" applyFill="1" applyBorder="1"/>
    <xf numFmtId="3" fontId="3" fillId="6" borderId="0" xfId="0" applyNumberFormat="1" applyFont="1" applyFill="1"/>
    <xf numFmtId="3" fontId="3" fillId="6" borderId="1" xfId="0" applyNumberFormat="1" applyFont="1" applyFill="1" applyBorder="1"/>
    <xf numFmtId="3" fontId="1" fillId="6" borderId="5" xfId="0" applyNumberFormat="1" applyFont="1" applyFill="1" applyBorder="1"/>
    <xf numFmtId="3" fontId="1" fillId="0" borderId="5" xfId="0" applyNumberFormat="1" applyFont="1" applyBorder="1"/>
    <xf numFmtId="164" fontId="3" fillId="7" borderId="0" xfId="0" applyNumberFormat="1" applyFont="1" applyFill="1"/>
    <xf numFmtId="164" fontId="3" fillId="7" borderId="1" xfId="0" applyNumberFormat="1" applyFont="1" applyFill="1" applyBorder="1"/>
    <xf numFmtId="0" fontId="1" fillId="8" borderId="5" xfId="0" applyFont="1" applyFill="1" applyBorder="1"/>
    <xf numFmtId="3" fontId="0" fillId="8" borderId="0" xfId="0" applyNumberFormat="1" applyFill="1"/>
    <xf numFmtId="3" fontId="0" fillId="8" borderId="1" xfId="0" applyNumberFormat="1" applyFill="1" applyBorder="1"/>
    <xf numFmtId="3" fontId="1" fillId="8" borderId="1" xfId="0" applyNumberFormat="1" applyFont="1" applyFill="1" applyBorder="1"/>
    <xf numFmtId="0" fontId="3" fillId="0" borderId="0" xfId="2"/>
    <xf numFmtId="0" fontId="1" fillId="5" borderId="4" xfId="2" applyFont="1" applyFill="1" applyBorder="1"/>
    <xf numFmtId="14" fontId="1" fillId="0" borderId="5" xfId="2" applyNumberFormat="1" applyFont="1" applyBorder="1" applyAlignment="1">
      <alignment horizontal="center"/>
    </xf>
    <xf numFmtId="0" fontId="3" fillId="5" borderId="2" xfId="2" applyFill="1" applyBorder="1"/>
    <xf numFmtId="164" fontId="3" fillId="7" borderId="0" xfId="2" applyNumberFormat="1" applyFill="1"/>
    <xf numFmtId="3" fontId="3" fillId="6" borderId="0" xfId="2" applyNumberFormat="1" applyFill="1"/>
    <xf numFmtId="3" fontId="3" fillId="0" borderId="0" xfId="2" applyNumberFormat="1"/>
    <xf numFmtId="0" fontId="3" fillId="5" borderId="3" xfId="2" applyFill="1" applyBorder="1"/>
    <xf numFmtId="164" fontId="3" fillId="7" borderId="1" xfId="2" applyNumberFormat="1" applyFill="1" applyBorder="1"/>
    <xf numFmtId="3" fontId="3" fillId="6" borderId="1" xfId="2" applyNumberFormat="1" applyFill="1" applyBorder="1"/>
    <xf numFmtId="3" fontId="3" fillId="0" borderId="1" xfId="2" applyNumberFormat="1" applyBorder="1"/>
    <xf numFmtId="0" fontId="1" fillId="5" borderId="3" xfId="2" applyFont="1" applyFill="1" applyBorder="1"/>
    <xf numFmtId="164" fontId="1" fillId="7" borderId="5" xfId="2" applyNumberFormat="1" applyFont="1" applyFill="1" applyBorder="1"/>
    <xf numFmtId="3" fontId="1" fillId="6" borderId="5" xfId="2" applyNumberFormat="1" applyFont="1" applyFill="1" applyBorder="1"/>
    <xf numFmtId="3" fontId="3" fillId="0" borderId="5" xfId="2" applyNumberFormat="1" applyBorder="1"/>
    <xf numFmtId="3" fontId="3" fillId="0" borderId="7" xfId="0" applyNumberFormat="1" applyFont="1" applyBorder="1"/>
    <xf numFmtId="3" fontId="3" fillId="0" borderId="8" xfId="0" applyNumberFormat="1" applyFont="1" applyBorder="1"/>
    <xf numFmtId="14" fontId="1" fillId="0" borderId="6" xfId="2" applyNumberFormat="1" applyFont="1" applyBorder="1" applyAlignment="1">
      <alignment horizontal="center"/>
    </xf>
    <xf numFmtId="3" fontId="3" fillId="0" borderId="7" xfId="2" applyNumberFormat="1" applyBorder="1"/>
    <xf numFmtId="3" fontId="3" fillId="0" borderId="8" xfId="2" applyNumberFormat="1" applyBorder="1"/>
    <xf numFmtId="3" fontId="3" fillId="0" borderId="6" xfId="2" applyNumberFormat="1" applyBorder="1"/>
    <xf numFmtId="3" fontId="1" fillId="8" borderId="5" xfId="0" applyNumberFormat="1" applyFont="1" applyFill="1" applyBorder="1"/>
    <xf numFmtId="0" fontId="13" fillId="0" borderId="0" xfId="0" applyFont="1"/>
    <xf numFmtId="3" fontId="3" fillId="8" borderId="0" xfId="2" applyNumberFormat="1" applyFill="1"/>
    <xf numFmtId="3" fontId="3" fillId="8" borderId="1" xfId="2" applyNumberFormat="1" applyFill="1" applyBorder="1"/>
    <xf numFmtId="3" fontId="3" fillId="8" borderId="0" xfId="0" applyNumberFormat="1" applyFont="1" applyFill="1"/>
    <xf numFmtId="3" fontId="3" fillId="8" borderId="1" xfId="0" applyNumberFormat="1" applyFont="1" applyFill="1" applyBorder="1"/>
    <xf numFmtId="0" fontId="1" fillId="0" borderId="0" xfId="2" applyFont="1"/>
    <xf numFmtId="164" fontId="1" fillId="7" borderId="1" xfId="0" applyNumberFormat="1" applyFont="1" applyFill="1" applyBorder="1"/>
    <xf numFmtId="0" fontId="1" fillId="0" borderId="5" xfId="0" applyFont="1" applyBorder="1"/>
    <xf numFmtId="3" fontId="0" fillId="0" borderId="0" xfId="0" quotePrefix="1" applyNumberFormat="1"/>
    <xf numFmtId="3" fontId="0" fillId="0" borderId="1" xfId="0" quotePrefix="1" applyNumberFormat="1" applyBorder="1"/>
    <xf numFmtId="14" fontId="1" fillId="0" borderId="5" xfId="0" applyNumberFormat="1" applyFont="1" applyBorder="1"/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3" fontId="1" fillId="0" borderId="5" xfId="2" applyNumberFormat="1" applyFont="1" applyBorder="1"/>
    <xf numFmtId="3" fontId="1" fillId="0" borderId="6" xfId="2" applyNumberFormat="1" applyFont="1" applyBorder="1"/>
    <xf numFmtId="3" fontId="1" fillId="8" borderId="5" xfId="2" applyNumberFormat="1" applyFont="1" applyFill="1" applyBorder="1"/>
    <xf numFmtId="3" fontId="0" fillId="8" borderId="0" xfId="0" applyNumberFormat="1" applyFill="1" applyAlignment="1">
      <alignment horizontal="right"/>
    </xf>
    <xf numFmtId="3" fontId="0" fillId="0" borderId="0" xfId="0" applyNumberFormat="1" applyAlignment="1">
      <alignment horizontal="right"/>
    </xf>
    <xf numFmtId="3" fontId="0" fillId="8" borderId="1" xfId="0" applyNumberFormat="1" applyFill="1" applyBorder="1" applyAlignment="1">
      <alignment horizontal="right"/>
    </xf>
    <xf numFmtId="3" fontId="0" fillId="0" borderId="1" xfId="0" applyNumberFormat="1" applyBorder="1" applyAlignment="1">
      <alignment horizontal="right"/>
    </xf>
    <xf numFmtId="3" fontId="1" fillId="8" borderId="1" xfId="0" applyNumberFormat="1" applyFont="1" applyFill="1" applyBorder="1" applyAlignment="1">
      <alignment horizontal="right"/>
    </xf>
    <xf numFmtId="3" fontId="1" fillId="0" borderId="1" xfId="0" applyNumberFormat="1" applyFont="1" applyBorder="1" applyAlignment="1">
      <alignment horizontal="right"/>
    </xf>
    <xf numFmtId="164" fontId="1" fillId="7" borderId="1" xfId="2" applyNumberFormat="1" applyFont="1" applyFill="1" applyBorder="1"/>
    <xf numFmtId="164" fontId="3" fillId="7" borderId="5" xfId="2" applyNumberFormat="1" applyFill="1" applyBorder="1"/>
    <xf numFmtId="3" fontId="1" fillId="0" borderId="6" xfId="0" applyNumberFormat="1" applyFont="1" applyBorder="1"/>
    <xf numFmtId="0" fontId="3" fillId="5" borderId="9" xfId="2" applyFill="1" applyBorder="1"/>
    <xf numFmtId="164" fontId="3" fillId="7" borderId="10" xfId="2" applyNumberFormat="1" applyFill="1" applyBorder="1"/>
    <xf numFmtId="3" fontId="3" fillId="0" borderId="10" xfId="2" applyNumberFormat="1" applyBorder="1"/>
    <xf numFmtId="3" fontId="3" fillId="0" borderId="11" xfId="2" applyNumberFormat="1" applyBorder="1"/>
    <xf numFmtId="3" fontId="3" fillId="0" borderId="7" xfId="0" applyNumberFormat="1" applyFont="1" applyBorder="1" applyAlignment="1">
      <alignment horizontal="right"/>
    </xf>
    <xf numFmtId="3" fontId="1" fillId="6" borderId="1" xfId="0" applyNumberFormat="1" applyFont="1" applyFill="1" applyBorder="1"/>
    <xf numFmtId="3" fontId="1" fillId="0" borderId="1" xfId="2" applyNumberFormat="1" applyFont="1" applyBorder="1"/>
    <xf numFmtId="3" fontId="3" fillId="0" borderId="10" xfId="0" applyNumberFormat="1" applyFont="1" applyBorder="1" applyAlignment="1">
      <alignment horizontal="right"/>
    </xf>
    <xf numFmtId="3" fontId="3" fillId="0" borderId="0" xfId="0" applyNumberFormat="1" applyFont="1" applyAlignment="1">
      <alignment horizontal="right"/>
    </xf>
    <xf numFmtId="3" fontId="8" fillId="0" borderId="6" xfId="2" applyNumberFormat="1" applyFont="1" applyBorder="1"/>
    <xf numFmtId="3" fontId="0" fillId="8" borderId="5" xfId="0" applyNumberFormat="1" applyFill="1" applyBorder="1"/>
    <xf numFmtId="3" fontId="0" fillId="0" borderId="5" xfId="0" applyNumberFormat="1" applyBorder="1"/>
    <xf numFmtId="3" fontId="0" fillId="6" borderId="0" xfId="0" applyNumberFormat="1" applyFill="1"/>
    <xf numFmtId="3" fontId="12" fillId="0" borderId="0" xfId="1" applyNumberFormat="1" applyFill="1" applyBorder="1"/>
    <xf numFmtId="3" fontId="12" fillId="0" borderId="7" xfId="1" applyNumberFormat="1" applyFill="1" applyBorder="1"/>
    <xf numFmtId="0" fontId="1" fillId="2" borderId="4" xfId="0" applyFont="1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3" fillId="5" borderId="2" xfId="0" applyFont="1" applyFill="1" applyBorder="1" applyAlignment="1">
      <alignment horizontal="left"/>
    </xf>
    <xf numFmtId="0" fontId="0" fillId="2" borderId="3" xfId="0" quotePrefix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1" fillId="5" borderId="4" xfId="2" applyFont="1" applyFill="1" applyBorder="1" applyAlignment="1">
      <alignment horizontal="left"/>
    </xf>
    <xf numFmtId="0" fontId="3" fillId="5" borderId="2" xfId="2" applyFill="1" applyBorder="1" applyAlignment="1">
      <alignment horizontal="left"/>
    </xf>
    <xf numFmtId="0" fontId="3" fillId="5" borderId="3" xfId="2" applyFill="1" applyBorder="1" applyAlignment="1">
      <alignment horizontal="left"/>
    </xf>
    <xf numFmtId="0" fontId="1" fillId="5" borderId="3" xfId="2" applyFont="1" applyFill="1" applyBorder="1" applyAlignment="1">
      <alignment horizontal="left"/>
    </xf>
    <xf numFmtId="0" fontId="3" fillId="2" borderId="2" xfId="0" applyFont="1" applyFill="1" applyBorder="1"/>
    <xf numFmtId="0" fontId="3" fillId="0" borderId="2" xfId="0" applyFont="1" applyBorder="1"/>
    <xf numFmtId="14" fontId="3" fillId="0" borderId="0" xfId="0" applyNumberFormat="1" applyFont="1" applyAlignment="1">
      <alignment horizontal="center"/>
    </xf>
    <xf numFmtId="14" fontId="3" fillId="0" borderId="7" xfId="0" applyNumberFormat="1" applyFont="1" applyBorder="1" applyAlignment="1">
      <alignment horizontal="center"/>
    </xf>
    <xf numFmtId="3" fontId="0" fillId="6" borderId="1" xfId="0" applyNumberFormat="1" applyFill="1" applyBorder="1"/>
    <xf numFmtId="14" fontId="1" fillId="6" borderId="5" xfId="0" applyNumberFormat="1" applyFont="1" applyFill="1" applyBorder="1"/>
    <xf numFmtId="3" fontId="1" fillId="6" borderId="1" xfId="2" applyNumberFormat="1" applyFont="1" applyFill="1" applyBorder="1"/>
    <xf numFmtId="3" fontId="1" fillId="6" borderId="1" xfId="0" applyNumberFormat="1" applyFont="1" applyFill="1" applyBorder="1" applyAlignment="1">
      <alignment horizontal="right"/>
    </xf>
    <xf numFmtId="3" fontId="0" fillId="6" borderId="1" xfId="0" applyNumberFormat="1" applyFill="1" applyBorder="1" applyAlignment="1">
      <alignment horizontal="right"/>
    </xf>
    <xf numFmtId="3" fontId="8" fillId="0" borderId="5" xfId="2" applyNumberFormat="1" applyFont="1" applyBorder="1"/>
    <xf numFmtId="3" fontId="1" fillId="0" borderId="1" xfId="4" applyNumberFormat="1" applyFont="1" applyBorder="1"/>
    <xf numFmtId="3" fontId="0" fillId="6" borderId="5" xfId="0" applyNumberFormat="1" applyFill="1" applyBorder="1"/>
    <xf numFmtId="3" fontId="3" fillId="0" borderId="1" xfId="0" quotePrefix="1" applyNumberFormat="1" applyFont="1" applyBorder="1"/>
    <xf numFmtId="3" fontId="3" fillId="0" borderId="0" xfId="0" quotePrefix="1" applyNumberFormat="1" applyFont="1"/>
    <xf numFmtId="3" fontId="3" fillId="8" borderId="10" xfId="2" applyNumberFormat="1" applyFill="1" applyBorder="1"/>
    <xf numFmtId="3" fontId="1" fillId="8" borderId="1" xfId="2" applyNumberFormat="1" applyFont="1" applyFill="1" applyBorder="1"/>
    <xf numFmtId="0" fontId="10" fillId="0" borderId="0" xfId="2" applyFont="1"/>
    <xf numFmtId="164" fontId="1" fillId="3" borderId="5" xfId="0" applyNumberFormat="1" applyFont="1" applyFill="1" applyBorder="1"/>
    <xf numFmtId="164" fontId="3" fillId="3" borderId="0" xfId="2" applyNumberFormat="1" applyFill="1"/>
    <xf numFmtId="3" fontId="0" fillId="9" borderId="0" xfId="0" applyNumberFormat="1" applyFill="1"/>
    <xf numFmtId="3" fontId="3" fillId="9" borderId="0" xfId="2" applyNumberFormat="1" applyFill="1"/>
    <xf numFmtId="165" fontId="3" fillId="0" borderId="0" xfId="0" applyNumberFormat="1" applyFont="1"/>
    <xf numFmtId="3" fontId="3" fillId="10" borderId="0" xfId="2" applyNumberFormat="1" applyFill="1"/>
    <xf numFmtId="3" fontId="3" fillId="0" borderId="0" xfId="2" quotePrefix="1" applyNumberFormat="1"/>
    <xf numFmtId="3" fontId="3" fillId="0" borderId="7" xfId="2" quotePrefix="1" applyNumberFormat="1" applyBorder="1"/>
    <xf numFmtId="3" fontId="1" fillId="10" borderId="5" xfId="2" applyNumberFormat="1" applyFont="1" applyFill="1" applyBorder="1"/>
    <xf numFmtId="164" fontId="3" fillId="0" borderId="0" xfId="2" applyNumberFormat="1"/>
    <xf numFmtId="0" fontId="3" fillId="0" borderId="0" xfId="2" applyAlignment="1">
      <alignment horizontal="center"/>
    </xf>
    <xf numFmtId="164" fontId="3" fillId="3" borderId="5" xfId="2" applyNumberFormat="1" applyFill="1" applyBorder="1"/>
    <xf numFmtId="3" fontId="3" fillId="10" borderId="5" xfId="2" applyNumberFormat="1" applyFill="1" applyBorder="1"/>
    <xf numFmtId="3" fontId="3" fillId="6" borderId="5" xfId="2" applyNumberFormat="1" applyFill="1" applyBorder="1"/>
    <xf numFmtId="3" fontId="0" fillId="6" borderId="0" xfId="0" applyNumberFormat="1" applyFill="1" applyAlignment="1">
      <alignment horizontal="right"/>
    </xf>
    <xf numFmtId="164" fontId="1" fillId="7" borderId="5" xfId="0" applyNumberFormat="1" applyFont="1" applyFill="1" applyBorder="1"/>
    <xf numFmtId="3" fontId="1" fillId="8" borderId="5" xfId="0" applyNumberFormat="1" applyFont="1" applyFill="1" applyBorder="1" applyAlignment="1">
      <alignment horizontal="right"/>
    </xf>
    <xf numFmtId="3" fontId="1" fillId="0" borderId="5" xfId="0" applyNumberFormat="1" applyFont="1" applyBorder="1" applyAlignment="1">
      <alignment horizontal="right"/>
    </xf>
    <xf numFmtId="3" fontId="1" fillId="6" borderId="5" xfId="0" applyNumberFormat="1" applyFont="1" applyFill="1" applyBorder="1" applyAlignment="1">
      <alignment horizontal="right"/>
    </xf>
    <xf numFmtId="3" fontId="0" fillId="11" borderId="0" xfId="0" applyNumberFormat="1" applyFill="1"/>
    <xf numFmtId="3" fontId="9" fillId="11" borderId="0" xfId="4" applyNumberFormat="1" applyFill="1"/>
    <xf numFmtId="3" fontId="3" fillId="11" borderId="0" xfId="6" applyNumberFormat="1" applyFill="1"/>
    <xf numFmtId="3" fontId="0" fillId="11" borderId="7" xfId="0" applyNumberFormat="1" applyFill="1" applyBorder="1"/>
    <xf numFmtId="3" fontId="0" fillId="11" borderId="1" xfId="0" applyNumberFormat="1" applyFill="1" applyBorder="1"/>
    <xf numFmtId="3" fontId="9" fillId="11" borderId="1" xfId="4" applyNumberFormat="1" applyFill="1" applyBorder="1"/>
    <xf numFmtId="3" fontId="0" fillId="11" borderId="8" xfId="0" applyNumberFormat="1" applyFill="1" applyBorder="1"/>
    <xf numFmtId="0" fontId="0" fillId="5" borderId="2" xfId="0" applyFill="1" applyBorder="1"/>
    <xf numFmtId="0" fontId="0" fillId="5" borderId="3" xfId="0" applyFill="1" applyBorder="1"/>
    <xf numFmtId="3" fontId="2" fillId="0" borderId="0" xfId="0" applyNumberFormat="1" applyFont="1"/>
  </cellXfs>
  <cellStyles count="8">
    <cellStyle name="Bad" xfId="1" builtinId="27"/>
    <cellStyle name="Normal" xfId="0" builtinId="0"/>
    <cellStyle name="Normal 2" xfId="2" xr:uid="{00000000-0005-0000-0000-000002000000}"/>
    <cellStyle name="Normale 2" xfId="3" xr:uid="{00000000-0005-0000-0000-000003000000}"/>
    <cellStyle name="Normale 3" xfId="4" xr:uid="{00000000-0005-0000-0000-000004000000}"/>
    <cellStyle name="Normale 3 2" xfId="5" xr:uid="{00000000-0005-0000-0000-000005000000}"/>
    <cellStyle name="Normale_4_uesto_pere" xfId="6" xr:uid="{00000000-0005-0000-0000-000006000000}"/>
    <cellStyle name="Standard 2" xfId="7" xr:uid="{00000000-0005-0000-0000-000007000000}"/>
  </cellStyles>
  <dxfs count="4"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</dxfs>
  <tableStyles count="0" defaultTableStyle="TableStyleMedium9" defaultPivotStyle="PivotStyleLight16"/>
  <colors>
    <mruColors>
      <color rgb="FFFF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28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freshfel365.sharepoint.com/sites/common1/Shared%20Documents/NEW%20SYSTEM/WAPA/Stocks/WAPA%20Stocks/Stocks%20NH%20December.xlsx" TargetMode="External"/><Relationship Id="rId1" Type="http://schemas.openxmlformats.org/officeDocument/2006/relationships/externalLinkPath" Target="Stocks%20NH%20December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freshfel365.sharepoint.com/sites/common1/Shared%20Documents/NEW%20SYSTEM/WAPA/Stocks/WAPA%20Stocks/Stocks%20NH%20November.xlsx" TargetMode="External"/><Relationship Id="rId1" Type="http://schemas.openxmlformats.org/officeDocument/2006/relationships/externalLinkPath" Target="Stocks%20NH%20Novemb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tro"/>
      <sheetName val="US"/>
      <sheetName val="EU - country"/>
      <sheetName val="EU - variety"/>
      <sheetName val="Austria"/>
      <sheetName val="Belgium"/>
      <sheetName val="Czech Republic"/>
      <sheetName val="Denmark"/>
      <sheetName val="France"/>
      <sheetName val="Germany"/>
      <sheetName val="Italy"/>
      <sheetName val="Sheet15"/>
      <sheetName val="Poland"/>
      <sheetName val="Portugal"/>
      <sheetName val="Slovakia"/>
      <sheetName val="Spain"/>
      <sheetName val="Switzerland"/>
      <sheetName val="Netherlands"/>
      <sheetName val="UK"/>
    </sheetNames>
    <sheetDataSet>
      <sheetData sheetId="0"/>
      <sheetData sheetId="1">
        <row r="3">
          <cell r="E3">
            <v>3804.0224739085797</v>
          </cell>
          <cell r="F3">
            <v>3819.3584319382799</v>
          </cell>
        </row>
        <row r="4">
          <cell r="E4">
            <v>236339.76302169156</v>
          </cell>
          <cell r="F4">
            <v>138508.96247446103</v>
          </cell>
        </row>
        <row r="5">
          <cell r="E5">
            <v>15688.513606467239</v>
          </cell>
          <cell r="F5">
            <v>17572.74084737094</v>
          </cell>
        </row>
        <row r="6">
          <cell r="E6">
            <v>238960.38296033442</v>
          </cell>
          <cell r="F6">
            <v>259630.83492266844</v>
          </cell>
        </row>
        <row r="7">
          <cell r="E7">
            <v>397246.04443438991</v>
          </cell>
          <cell r="F7">
            <v>392730.24299910787</v>
          </cell>
        </row>
        <row r="8">
          <cell r="E8">
            <v>85539.9732049632</v>
          </cell>
          <cell r="F8">
            <v>100803.93796088154</v>
          </cell>
        </row>
        <row r="9">
          <cell r="E9">
            <v>278603.79636534984</v>
          </cell>
          <cell r="F9">
            <v>294957.45238007663</v>
          </cell>
        </row>
        <row r="10">
          <cell r="E10">
            <v>207695.33681733606</v>
          </cell>
          <cell r="F10">
            <v>332470.74884196557</v>
          </cell>
        </row>
        <row r="11">
          <cell r="E11">
            <v>792.00221511641996</v>
          </cell>
          <cell r="F11">
            <v>1816.6156694162398</v>
          </cell>
        </row>
        <row r="13">
          <cell r="E13">
            <v>1326.66514940652</v>
          </cell>
          <cell r="F13">
            <v>1748.22301186764</v>
          </cell>
        </row>
        <row r="14">
          <cell r="E14">
            <v>19664.375013826619</v>
          </cell>
          <cell r="F14">
            <v>21332.546229867181</v>
          </cell>
        </row>
        <row r="15">
          <cell r="E15">
            <v>537.86348205282002</v>
          </cell>
          <cell r="F15">
            <v>1027.794951183</v>
          </cell>
        </row>
        <row r="16">
          <cell r="E16">
            <v>709.87387341947999</v>
          </cell>
          <cell r="F16">
            <v>972.94746898734002</v>
          </cell>
        </row>
        <row r="18">
          <cell r="E18">
            <v>197931.51339165203</v>
          </cell>
          <cell r="F18">
            <v>152497.48989605592</v>
          </cell>
        </row>
        <row r="19">
          <cell r="E19">
            <v>360638.69349814614</v>
          </cell>
          <cell r="F19">
            <v>384429.46996945719</v>
          </cell>
        </row>
        <row r="20">
          <cell r="E20">
            <v>2392.3713508741198</v>
          </cell>
          <cell r="F20">
            <v>3770.0738065682999</v>
          </cell>
        </row>
        <row r="21">
          <cell r="E21">
            <v>256.32958421069998</v>
          </cell>
          <cell r="F21">
            <v>709.70241550361993</v>
          </cell>
        </row>
        <row r="22">
          <cell r="E22">
            <v>2997.2748780282</v>
          </cell>
          <cell r="F22">
            <v>2427.8440885775999</v>
          </cell>
        </row>
        <row r="23">
          <cell r="E23">
            <v>760.73972179127998</v>
          </cell>
          <cell r="F23">
            <v>254.50069977485998</v>
          </cell>
        </row>
        <row r="25">
          <cell r="E25">
            <v>1013.54489328708</v>
          </cell>
          <cell r="F25">
            <v>1047.0553903979401</v>
          </cell>
        </row>
        <row r="26">
          <cell r="E26">
            <v>261032.35097778763</v>
          </cell>
          <cell r="F26">
            <v>257735.31051019751</v>
          </cell>
        </row>
        <row r="27">
          <cell r="E27">
            <v>2313931.4309140407</v>
          </cell>
          <cell r="F27">
            <v>2370263.8529663254</v>
          </cell>
        </row>
        <row r="31">
          <cell r="E31">
            <v>88100.4</v>
          </cell>
          <cell r="F31">
            <v>100951.94</v>
          </cell>
        </row>
        <row r="32">
          <cell r="E32">
            <v>10987.22</v>
          </cell>
          <cell r="F32">
            <v>34627.4</v>
          </cell>
        </row>
        <row r="33">
          <cell r="E33">
            <v>11882</v>
          </cell>
          <cell r="F33">
            <v>10870.78</v>
          </cell>
        </row>
        <row r="34">
          <cell r="E34">
            <v>686.04</v>
          </cell>
          <cell r="F34">
            <v>1141.9000000000001</v>
          </cell>
        </row>
        <row r="35">
          <cell r="E35">
            <v>94.8</v>
          </cell>
          <cell r="F35">
            <v>42.14</v>
          </cell>
        </row>
        <row r="36">
          <cell r="E36">
            <v>69.3</v>
          </cell>
          <cell r="F36">
            <v>112.26</v>
          </cell>
        </row>
        <row r="37">
          <cell r="E37">
            <v>145.41999999999999</v>
          </cell>
          <cell r="F37">
            <v>576.94000000000005</v>
          </cell>
        </row>
        <row r="39">
          <cell r="E39">
            <v>183.78</v>
          </cell>
          <cell r="F39">
            <v>979.3</v>
          </cell>
        </row>
        <row r="40">
          <cell r="E40">
            <v>25281.919999999998</v>
          </cell>
          <cell r="F40">
            <v>28325.439999999999</v>
          </cell>
        </row>
        <row r="41">
          <cell r="E41">
            <v>137430.88</v>
          </cell>
          <cell r="F41">
            <v>177628.1</v>
          </cell>
        </row>
      </sheetData>
      <sheetData sheetId="2">
        <row r="2">
          <cell r="E2">
            <v>60350.41396959206</v>
          </cell>
          <cell r="F2">
            <v>92742.706608460037</v>
          </cell>
        </row>
        <row r="3">
          <cell r="E3">
            <v>96325.911915192206</v>
          </cell>
          <cell r="F3">
            <v>129829.90113818999</v>
          </cell>
        </row>
        <row r="4">
          <cell r="E4">
            <v>17416</v>
          </cell>
          <cell r="F4">
            <v>44364</v>
          </cell>
        </row>
        <row r="5">
          <cell r="E5">
            <v>12339</v>
          </cell>
          <cell r="F5">
            <v>8870</v>
          </cell>
        </row>
        <row r="6">
          <cell r="E6">
            <v>712768</v>
          </cell>
          <cell r="F6">
            <v>715814</v>
          </cell>
        </row>
        <row r="7">
          <cell r="E7">
            <v>263173</v>
          </cell>
          <cell r="F7">
            <v>313770</v>
          </cell>
        </row>
        <row r="8">
          <cell r="E8">
            <v>1500045.5264590029</v>
          </cell>
          <cell r="F8">
            <v>1380125.7278411819</v>
          </cell>
        </row>
        <row r="9">
          <cell r="E9">
            <v>1067000</v>
          </cell>
          <cell r="F9">
            <v>1225000</v>
          </cell>
        </row>
        <row r="12">
          <cell r="E12">
            <v>224850.6861991692</v>
          </cell>
          <cell r="F12">
            <v>207176.90763664857</v>
          </cell>
        </row>
        <row r="13">
          <cell r="E13">
            <v>71857</v>
          </cell>
          <cell r="F13">
            <v>56949</v>
          </cell>
        </row>
        <row r="14">
          <cell r="E14">
            <v>120762</v>
          </cell>
          <cell r="F14">
            <v>117058</v>
          </cell>
        </row>
        <row r="15">
          <cell r="E15">
            <v>113665</v>
          </cell>
        </row>
        <row r="16">
          <cell r="E16">
            <v>4260552.5385429561</v>
          </cell>
          <cell r="F16">
            <v>4291700.2432244811</v>
          </cell>
        </row>
        <row r="20">
          <cell r="E20">
            <v>187285.86242931083</v>
          </cell>
          <cell r="F20">
            <v>266363.38195285958</v>
          </cell>
        </row>
        <row r="21">
          <cell r="E21">
            <v>1847</v>
          </cell>
          <cell r="F21">
            <v>2600</v>
          </cell>
        </row>
        <row r="22">
          <cell r="E22">
            <v>30</v>
          </cell>
          <cell r="F22">
            <v>36</v>
          </cell>
        </row>
        <row r="23">
          <cell r="E23">
            <v>23179</v>
          </cell>
          <cell r="F23">
            <v>14003</v>
          </cell>
        </row>
        <row r="24">
          <cell r="E24">
            <v>7984</v>
          </cell>
          <cell r="F24">
            <v>6483</v>
          </cell>
        </row>
        <row r="25">
          <cell r="E25">
            <v>120190.24931292621</v>
          </cell>
          <cell r="F25">
            <v>32445.075860505825</v>
          </cell>
        </row>
        <row r="26">
          <cell r="E26">
            <v>56000</v>
          </cell>
          <cell r="F26">
            <v>40000</v>
          </cell>
        </row>
        <row r="29">
          <cell r="E29">
            <v>35411.450503104541</v>
          </cell>
          <cell r="F29">
            <v>55799.569526380816</v>
          </cell>
        </row>
        <row r="30">
          <cell r="E30">
            <v>10876</v>
          </cell>
          <cell r="F30">
            <v>5981</v>
          </cell>
        </row>
        <row r="31">
          <cell r="E31">
            <v>218937</v>
          </cell>
          <cell r="F31">
            <v>237808</v>
          </cell>
        </row>
        <row r="32">
          <cell r="E32">
            <v>9288</v>
          </cell>
        </row>
        <row r="33">
          <cell r="E33">
            <v>671028.5622453416</v>
          </cell>
          <cell r="F33">
            <v>661519.02733974624</v>
          </cell>
        </row>
      </sheetData>
      <sheetData sheetId="3">
        <row r="2">
          <cell r="E2">
            <v>30000</v>
          </cell>
          <cell r="F2">
            <v>20000</v>
          </cell>
        </row>
        <row r="3">
          <cell r="E3">
            <v>18699.66433900395</v>
          </cell>
          <cell r="F3">
            <v>19542.636082420282</v>
          </cell>
        </row>
        <row r="4">
          <cell r="E4">
            <v>119446.38461929851</v>
          </cell>
          <cell r="F4">
            <v>104764.57570946861</v>
          </cell>
        </row>
        <row r="5">
          <cell r="E5">
            <v>7976</v>
          </cell>
          <cell r="F5">
            <v>0</v>
          </cell>
        </row>
        <row r="6">
          <cell r="E6">
            <v>5529</v>
          </cell>
          <cell r="F6">
            <v>0</v>
          </cell>
        </row>
        <row r="7">
          <cell r="E7">
            <v>0</v>
          </cell>
          <cell r="F7">
            <v>0</v>
          </cell>
        </row>
        <row r="8">
          <cell r="E8">
            <v>2026</v>
          </cell>
          <cell r="F8">
            <v>157</v>
          </cell>
        </row>
        <row r="9">
          <cell r="E9">
            <v>276901.48600000003</v>
          </cell>
          <cell r="F9">
            <v>263224.97100000002</v>
          </cell>
        </row>
        <row r="10">
          <cell r="E10">
            <v>126744</v>
          </cell>
          <cell r="F10">
            <v>115376.70070177142</v>
          </cell>
        </row>
        <row r="11">
          <cell r="E11">
            <v>158853.39401952189</v>
          </cell>
          <cell r="F11">
            <v>152755.03567086245</v>
          </cell>
        </row>
        <row r="12">
          <cell r="E12">
            <v>472362.63068335498</v>
          </cell>
          <cell r="F12">
            <v>447842.68110539869</v>
          </cell>
        </row>
        <row r="13">
          <cell r="E13">
            <v>22722.38724168441</v>
          </cell>
          <cell r="F13">
            <v>25055</v>
          </cell>
        </row>
        <row r="14">
          <cell r="E14">
            <v>1034887.11047478</v>
          </cell>
          <cell r="F14">
            <v>1110134.8639827212</v>
          </cell>
        </row>
        <row r="15">
          <cell r="E15">
            <v>202172.11039340828</v>
          </cell>
          <cell r="F15">
            <v>163725.93935319802</v>
          </cell>
        </row>
        <row r="16">
          <cell r="E16">
            <v>581</v>
          </cell>
          <cell r="F16">
            <v>872</v>
          </cell>
        </row>
        <row r="17">
          <cell r="E17">
            <v>163264.42405539667</v>
          </cell>
          <cell r="F17">
            <v>188903.54764413668</v>
          </cell>
        </row>
        <row r="18">
          <cell r="E18">
            <v>162764.72778682259</v>
          </cell>
          <cell r="F18">
            <v>195556.69603104214</v>
          </cell>
        </row>
        <row r="19">
          <cell r="E19">
            <v>28692.354480881055</v>
          </cell>
          <cell r="F19">
            <v>34999.701304787202</v>
          </cell>
        </row>
        <row r="20">
          <cell r="E20">
            <v>0</v>
          </cell>
          <cell r="F20">
            <v>0</v>
          </cell>
        </row>
        <row r="21">
          <cell r="E21">
            <v>0</v>
          </cell>
          <cell r="F21">
            <v>0</v>
          </cell>
        </row>
        <row r="22">
          <cell r="E22">
            <v>15429.770515429045</v>
          </cell>
          <cell r="F22">
            <v>14506.852021060015</v>
          </cell>
        </row>
        <row r="23">
          <cell r="E23">
            <v>99546.573166792106</v>
          </cell>
          <cell r="F23">
            <v>106187.74001204276</v>
          </cell>
        </row>
        <row r="24">
          <cell r="E24">
            <v>203125.71037472974</v>
          </cell>
          <cell r="F24">
            <v>177542.12934484467</v>
          </cell>
        </row>
        <row r="25">
          <cell r="E25">
            <v>203264.72136083094</v>
          </cell>
          <cell r="F25">
            <v>243304.9525816649</v>
          </cell>
        </row>
        <row r="26">
          <cell r="E26">
            <v>41137.183000000005</v>
          </cell>
          <cell r="F26">
            <v>37276.417000000001</v>
          </cell>
        </row>
        <row r="27">
          <cell r="E27">
            <v>90446</v>
          </cell>
          <cell r="F27">
            <v>101262</v>
          </cell>
        </row>
        <row r="28">
          <cell r="E28">
            <v>0</v>
          </cell>
          <cell r="F28">
            <v>0</v>
          </cell>
        </row>
        <row r="29">
          <cell r="E29">
            <v>0</v>
          </cell>
          <cell r="F29">
            <v>0</v>
          </cell>
        </row>
        <row r="30">
          <cell r="E30">
            <v>117631.7397260274</v>
          </cell>
          <cell r="F30">
            <v>120724.83561643836</v>
          </cell>
        </row>
        <row r="31">
          <cell r="E31">
            <v>656348.16630499484</v>
          </cell>
          <cell r="F31">
            <v>647983.96806262317</v>
          </cell>
        </row>
        <row r="32">
          <cell r="E32">
            <v>4260552.538542957</v>
          </cell>
          <cell r="F32">
            <v>4291700.2432244802</v>
          </cell>
        </row>
        <row r="36">
          <cell r="E36">
            <v>54711.707263018681</v>
          </cell>
          <cell r="F36">
            <v>13541.382354378689</v>
          </cell>
        </row>
        <row r="37">
          <cell r="E37">
            <v>987.44052249683909</v>
          </cell>
          <cell r="F37">
            <v>1307.1817497566828</v>
          </cell>
        </row>
        <row r="38">
          <cell r="E38">
            <v>3347.4715390946508</v>
          </cell>
          <cell r="F38">
            <v>2959.8792187082263</v>
          </cell>
        </row>
        <row r="39">
          <cell r="E39">
            <v>478220.18604932056</v>
          </cell>
          <cell r="F39">
            <v>563848.66723735898</v>
          </cell>
        </row>
        <row r="40">
          <cell r="E40">
            <v>12895.962844230871</v>
          </cell>
          <cell r="F40">
            <v>15103.25275369122</v>
          </cell>
        </row>
        <row r="41">
          <cell r="E41">
            <v>10062.898342416405</v>
          </cell>
          <cell r="F41">
            <v>3944.2415699282237</v>
          </cell>
        </row>
        <row r="43">
          <cell r="E43">
            <v>110802.89568476356</v>
          </cell>
          <cell r="F43">
            <v>60814.422455924279</v>
          </cell>
        </row>
        <row r="44">
          <cell r="E44">
            <v>671028.56224534148</v>
          </cell>
          <cell r="F44">
            <v>661519.02733974636</v>
          </cell>
        </row>
      </sheetData>
      <sheetData sheetId="4">
        <row r="2">
          <cell r="E2">
            <v>129.26388679813337</v>
          </cell>
          <cell r="F2">
            <v>588.87550805359024</v>
          </cell>
        </row>
        <row r="3">
          <cell r="E3">
            <v>94.520547945205479</v>
          </cell>
          <cell r="F3">
            <v>127.39726027397261</v>
          </cell>
        </row>
        <row r="4">
          <cell r="E4">
            <v>4878.2026192985095</v>
          </cell>
          <cell r="F4">
            <v>6298.5097094686143</v>
          </cell>
        </row>
        <row r="5">
          <cell r="E5">
            <v>1600</v>
          </cell>
          <cell r="F5">
            <v>3439.7260273972606</v>
          </cell>
        </row>
        <row r="6">
          <cell r="E6">
            <v>7502.7397260273974</v>
          </cell>
          <cell r="F6">
            <v>7643.8356164383567</v>
          </cell>
        </row>
        <row r="7">
          <cell r="E7">
            <v>1727.3972602739725</v>
          </cell>
          <cell r="F7">
            <v>2209.5890410958905</v>
          </cell>
        </row>
        <row r="8">
          <cell r="E8">
            <v>14055.050429023031</v>
          </cell>
          <cell r="F8">
            <v>25481.875658587989</v>
          </cell>
        </row>
        <row r="10">
          <cell r="E10">
            <v>13044.768929700436</v>
          </cell>
          <cell r="F10">
            <v>23104.591299111846</v>
          </cell>
        </row>
        <row r="11">
          <cell r="E11">
            <v>175.34246575342465</v>
          </cell>
          <cell r="F11">
            <v>828.27035977720914</v>
          </cell>
        </row>
        <row r="12">
          <cell r="E12">
            <v>781.4240553966581</v>
          </cell>
          <cell r="F12">
            <v>2934.5476441366854</v>
          </cell>
        </row>
        <row r="13">
          <cell r="E13">
            <v>2006.7439409905164</v>
          </cell>
          <cell r="F13">
            <v>1925.9370766220081</v>
          </cell>
        </row>
        <row r="14">
          <cell r="E14">
            <v>0</v>
          </cell>
          <cell r="F14">
            <v>0</v>
          </cell>
        </row>
        <row r="15">
          <cell r="E15">
            <v>1187.6260725575794</v>
          </cell>
          <cell r="F15">
            <v>1747.7946710823421</v>
          </cell>
        </row>
        <row r="16">
          <cell r="E16">
            <v>4446.2441667921121</v>
          </cell>
          <cell r="F16">
            <v>5239.4400120427526</v>
          </cell>
        </row>
        <row r="17">
          <cell r="E17">
            <v>1456.7213608309498</v>
          </cell>
          <cell r="F17">
            <v>2104.9525816649102</v>
          </cell>
        </row>
        <row r="19">
          <cell r="E19">
            <v>1761.5836218575944</v>
          </cell>
          <cell r="F19">
            <v>1698.6301369863013</v>
          </cell>
        </row>
        <row r="20">
          <cell r="E20">
            <v>5502.7848863465306</v>
          </cell>
          <cell r="F20">
            <v>7368.7340057203073</v>
          </cell>
        </row>
        <row r="21">
          <cell r="E21">
            <v>60350.41396959206</v>
          </cell>
          <cell r="F21">
            <v>92742.706608460037</v>
          </cell>
        </row>
      </sheetData>
      <sheetData sheetId="5">
        <row r="2">
          <cell r="E2">
            <v>2194.1437910587447</v>
          </cell>
          <cell r="F2">
            <v>2851.2388221463102</v>
          </cell>
        </row>
        <row r="4">
          <cell r="F4">
            <v>2420.974674374168</v>
          </cell>
        </row>
        <row r="5">
          <cell r="E5">
            <v>594.38724168440933</v>
          </cell>
        </row>
        <row r="6">
          <cell r="E6">
            <v>9173.9425557359282</v>
          </cell>
          <cell r="F6">
            <v>15533.227382462183</v>
          </cell>
        </row>
        <row r="7">
          <cell r="E7">
            <v>46285.083845832072</v>
          </cell>
          <cell r="F7">
            <v>60324.758954420118</v>
          </cell>
        </row>
        <row r="8">
          <cell r="E8">
            <v>14476.354480881057</v>
          </cell>
          <cell r="F8">
            <v>19951.701304787199</v>
          </cell>
        </row>
        <row r="9">
          <cell r="E9">
            <v>23602</v>
          </cell>
          <cell r="F9">
            <v>28748</v>
          </cell>
        </row>
        <row r="10">
          <cell r="E10">
            <v>96325.911915192206</v>
          </cell>
          <cell r="F10">
            <v>129829.90113818999</v>
          </cell>
        </row>
        <row r="15">
          <cell r="E15">
            <v>181892.9915297043</v>
          </cell>
          <cell r="F15">
            <v>256752.00554718895</v>
          </cell>
        </row>
        <row r="16">
          <cell r="E16">
            <v>1667.4968428727284</v>
          </cell>
          <cell r="F16">
            <v>4306.2527536912194</v>
          </cell>
        </row>
        <row r="17">
          <cell r="E17">
            <v>0</v>
          </cell>
          <cell r="F17">
            <v>52</v>
          </cell>
        </row>
        <row r="18">
          <cell r="E18">
            <v>850.37405673379999</v>
          </cell>
          <cell r="F18">
            <v>1257.1236519794295</v>
          </cell>
        </row>
        <row r="19">
          <cell r="E19">
            <v>2875</v>
          </cell>
          <cell r="F19">
            <v>3996</v>
          </cell>
        </row>
        <row r="20">
          <cell r="E20">
            <v>187285.86242931083</v>
          </cell>
          <cell r="F20">
            <v>266363.38195285958</v>
          </cell>
        </row>
      </sheetData>
      <sheetData sheetId="6">
        <row r="2">
          <cell r="E2">
            <v>2309</v>
          </cell>
          <cell r="F2">
            <v>6075</v>
          </cell>
        </row>
        <row r="3">
          <cell r="E3">
            <v>3311</v>
          </cell>
          <cell r="F3">
            <v>7942</v>
          </cell>
        </row>
        <row r="4">
          <cell r="E4">
            <v>128</v>
          </cell>
          <cell r="F4">
            <v>55</v>
          </cell>
        </row>
        <row r="5">
          <cell r="E5">
            <v>4999</v>
          </cell>
          <cell r="F5">
            <v>12141</v>
          </cell>
        </row>
        <row r="6">
          <cell r="E6">
            <v>1020</v>
          </cell>
          <cell r="F6">
            <v>3919</v>
          </cell>
        </row>
        <row r="7">
          <cell r="E7">
            <v>1152</v>
          </cell>
          <cell r="F7">
            <v>7398</v>
          </cell>
        </row>
        <row r="8">
          <cell r="E8">
            <v>1984</v>
          </cell>
          <cell r="F8">
            <v>2111</v>
          </cell>
        </row>
        <row r="9">
          <cell r="E9">
            <v>389</v>
          </cell>
          <cell r="F9">
            <v>258</v>
          </cell>
        </row>
        <row r="10">
          <cell r="E10">
            <v>0</v>
          </cell>
          <cell r="F10">
            <v>0</v>
          </cell>
        </row>
        <row r="11">
          <cell r="E11">
            <v>2124</v>
          </cell>
          <cell r="F11">
            <v>4465</v>
          </cell>
        </row>
        <row r="12">
          <cell r="E12">
            <v>17416</v>
          </cell>
          <cell r="F12">
            <v>44364</v>
          </cell>
        </row>
        <row r="16">
          <cell r="E16">
            <v>1745</v>
          </cell>
          <cell r="F16">
            <v>1933</v>
          </cell>
        </row>
        <row r="17">
          <cell r="E17">
            <v>0</v>
          </cell>
          <cell r="F17">
            <v>162</v>
          </cell>
        </row>
        <row r="18">
          <cell r="E18">
            <v>70</v>
          </cell>
          <cell r="F18">
            <v>192</v>
          </cell>
        </row>
        <row r="19">
          <cell r="E19">
            <v>3</v>
          </cell>
          <cell r="F19">
            <v>97</v>
          </cell>
        </row>
        <row r="20">
          <cell r="E20">
            <v>29</v>
          </cell>
          <cell r="F20">
            <v>216</v>
          </cell>
        </row>
        <row r="21">
          <cell r="E21">
            <v>1847</v>
          </cell>
          <cell r="F21">
            <v>2600</v>
          </cell>
        </row>
      </sheetData>
      <sheetData sheetId="7">
        <row r="2">
          <cell r="E2">
            <v>55</v>
          </cell>
          <cell r="F2">
            <v>12</v>
          </cell>
        </row>
        <row r="3">
          <cell r="E3">
            <v>133</v>
          </cell>
          <cell r="F3">
            <v>89</v>
          </cell>
        </row>
        <row r="4">
          <cell r="E4">
            <v>154</v>
          </cell>
          <cell r="F4">
            <v>157</v>
          </cell>
        </row>
        <row r="5">
          <cell r="E5">
            <v>4240</v>
          </cell>
          <cell r="F5">
            <v>2593</v>
          </cell>
        </row>
        <row r="6">
          <cell r="E6">
            <v>16</v>
          </cell>
          <cell r="F6">
            <v>9</v>
          </cell>
        </row>
        <row r="7">
          <cell r="E7">
            <v>192</v>
          </cell>
          <cell r="F7">
            <v>155</v>
          </cell>
        </row>
        <row r="10">
          <cell r="E10">
            <v>106</v>
          </cell>
          <cell r="F10">
            <v>285</v>
          </cell>
        </row>
        <row r="11">
          <cell r="F11">
            <v>14</v>
          </cell>
        </row>
        <row r="12">
          <cell r="E12">
            <v>2019</v>
          </cell>
          <cell r="F12">
            <v>1394</v>
          </cell>
        </row>
        <row r="13">
          <cell r="E13">
            <v>19</v>
          </cell>
          <cell r="F13">
            <v>10</v>
          </cell>
        </row>
        <row r="14">
          <cell r="E14">
            <v>1014</v>
          </cell>
          <cell r="F14">
            <v>927</v>
          </cell>
        </row>
        <row r="15">
          <cell r="E15">
            <v>24</v>
          </cell>
          <cell r="F15">
            <v>36</v>
          </cell>
        </row>
        <row r="18">
          <cell r="E18">
            <v>2536</v>
          </cell>
          <cell r="F18">
            <v>2844</v>
          </cell>
        </row>
        <row r="19">
          <cell r="E19">
            <v>1831</v>
          </cell>
          <cell r="F19">
            <v>345</v>
          </cell>
        </row>
        <row r="20">
          <cell r="E20">
            <v>12339</v>
          </cell>
          <cell r="F20">
            <v>8870</v>
          </cell>
        </row>
        <row r="24">
          <cell r="F24">
            <v>10</v>
          </cell>
        </row>
        <row r="25">
          <cell r="F25">
            <v>2</v>
          </cell>
        </row>
        <row r="26">
          <cell r="E26">
            <v>30</v>
          </cell>
          <cell r="F26">
            <v>24</v>
          </cell>
        </row>
        <row r="27">
          <cell r="E27">
            <v>30</v>
          </cell>
          <cell r="F27">
            <v>36</v>
          </cell>
        </row>
      </sheetData>
      <sheetData sheetId="8">
        <row r="2">
          <cell r="E2">
            <v>7620</v>
          </cell>
          <cell r="F2">
            <v>6107</v>
          </cell>
        </row>
        <row r="3">
          <cell r="E3">
            <v>27632</v>
          </cell>
          <cell r="F3">
            <v>30696</v>
          </cell>
        </row>
        <row r="4">
          <cell r="E4">
            <v>3758</v>
          </cell>
          <cell r="F4">
            <v>2090</v>
          </cell>
        </row>
        <row r="5">
          <cell r="E5">
            <v>17341</v>
          </cell>
          <cell r="F5">
            <v>18232</v>
          </cell>
        </row>
        <row r="7">
          <cell r="E7">
            <v>9738</v>
          </cell>
          <cell r="F7">
            <v>8338</v>
          </cell>
        </row>
        <row r="8">
          <cell r="E8">
            <v>155671</v>
          </cell>
          <cell r="F8">
            <v>147369</v>
          </cell>
        </row>
        <row r="9">
          <cell r="E9">
            <v>2488</v>
          </cell>
          <cell r="F9">
            <v>1975</v>
          </cell>
        </row>
        <row r="10">
          <cell r="E10">
            <v>19980</v>
          </cell>
          <cell r="F10">
            <v>24866</v>
          </cell>
        </row>
        <row r="11">
          <cell r="E11">
            <v>79120</v>
          </cell>
          <cell r="F11">
            <v>74134</v>
          </cell>
        </row>
        <row r="12">
          <cell r="E12">
            <v>167909</v>
          </cell>
          <cell r="F12">
            <v>168930</v>
          </cell>
        </row>
        <row r="13">
          <cell r="E13">
            <v>3805</v>
          </cell>
          <cell r="F13">
            <v>3543</v>
          </cell>
        </row>
        <row r="14">
          <cell r="E14">
            <v>52484</v>
          </cell>
          <cell r="F14">
            <v>58185</v>
          </cell>
        </row>
        <row r="15">
          <cell r="E15">
            <v>6545</v>
          </cell>
          <cell r="F15">
            <v>8486</v>
          </cell>
        </row>
        <row r="17">
          <cell r="E17">
            <v>20877</v>
          </cell>
          <cell r="F17">
            <v>24724</v>
          </cell>
        </row>
        <row r="18">
          <cell r="E18">
            <v>18698</v>
          </cell>
          <cell r="F18">
            <v>16615</v>
          </cell>
        </row>
        <row r="19">
          <cell r="E19">
            <v>770</v>
          </cell>
          <cell r="F19">
            <v>366</v>
          </cell>
        </row>
        <row r="20">
          <cell r="E20">
            <v>18217</v>
          </cell>
          <cell r="F20">
            <v>23762</v>
          </cell>
        </row>
        <row r="21">
          <cell r="E21">
            <v>11470</v>
          </cell>
          <cell r="F21">
            <v>10350</v>
          </cell>
        </row>
        <row r="24">
          <cell r="E24">
            <v>2156</v>
          </cell>
          <cell r="F24">
            <v>2031</v>
          </cell>
        </row>
        <row r="25">
          <cell r="E25">
            <v>86489</v>
          </cell>
          <cell r="F25">
            <v>85015</v>
          </cell>
        </row>
        <row r="26">
          <cell r="E26">
            <v>712768</v>
          </cell>
          <cell r="F26">
            <v>715814</v>
          </cell>
        </row>
        <row r="30">
          <cell r="E30">
            <v>3740</v>
          </cell>
          <cell r="F30">
            <v>3639</v>
          </cell>
        </row>
        <row r="32">
          <cell r="E32">
            <v>5847</v>
          </cell>
          <cell r="F32">
            <v>4794</v>
          </cell>
        </row>
        <row r="33">
          <cell r="E33">
            <v>2111</v>
          </cell>
          <cell r="F33">
            <v>1979</v>
          </cell>
        </row>
        <row r="34">
          <cell r="E34">
            <v>33</v>
          </cell>
        </row>
        <row r="35">
          <cell r="E35">
            <v>378</v>
          </cell>
          <cell r="F35">
            <v>388</v>
          </cell>
        </row>
        <row r="36">
          <cell r="E36">
            <v>1916</v>
          </cell>
          <cell r="F36">
            <v>342</v>
          </cell>
        </row>
        <row r="37">
          <cell r="E37">
            <v>9154</v>
          </cell>
          <cell r="F37">
            <v>2861</v>
          </cell>
        </row>
        <row r="38">
          <cell r="E38">
            <v>23179</v>
          </cell>
          <cell r="F38">
            <v>14003</v>
          </cell>
        </row>
      </sheetData>
      <sheetData sheetId="9">
        <row r="2">
          <cell r="E2">
            <v>5578</v>
          </cell>
          <cell r="F2">
            <v>9688</v>
          </cell>
        </row>
        <row r="3">
          <cell r="E3">
            <v>31628</v>
          </cell>
          <cell r="F3">
            <v>36981</v>
          </cell>
        </row>
        <row r="4">
          <cell r="E4">
            <v>0</v>
          </cell>
        </row>
        <row r="5">
          <cell r="E5">
            <v>65529</v>
          </cell>
          <cell r="F5">
            <v>57796</v>
          </cell>
        </row>
        <row r="6">
          <cell r="E6">
            <v>6368</v>
          </cell>
          <cell r="F6">
            <v>5421</v>
          </cell>
        </row>
        <row r="7">
          <cell r="E7">
            <v>18527</v>
          </cell>
          <cell r="F7">
            <v>31026</v>
          </cell>
        </row>
        <row r="8">
          <cell r="E8">
            <v>0</v>
          </cell>
        </row>
        <row r="9">
          <cell r="E9">
            <v>1675</v>
          </cell>
          <cell r="F9">
            <v>3302</v>
          </cell>
        </row>
        <row r="10">
          <cell r="E10">
            <v>475</v>
          </cell>
          <cell r="F10">
            <v>587</v>
          </cell>
        </row>
        <row r="11">
          <cell r="E11">
            <v>1104</v>
          </cell>
          <cell r="F11">
            <v>1825</v>
          </cell>
        </row>
        <row r="12">
          <cell r="E12">
            <v>0</v>
          </cell>
        </row>
        <row r="13">
          <cell r="E13">
            <v>11288</v>
          </cell>
          <cell r="F13">
            <v>12405</v>
          </cell>
        </row>
        <row r="14">
          <cell r="E14">
            <v>13202</v>
          </cell>
          <cell r="F14">
            <v>14121</v>
          </cell>
        </row>
        <row r="15">
          <cell r="E15">
            <v>5442</v>
          </cell>
          <cell r="F15">
            <v>8089</v>
          </cell>
        </row>
        <row r="16">
          <cell r="E16">
            <v>46808</v>
          </cell>
          <cell r="F16">
            <v>56200</v>
          </cell>
        </row>
        <row r="17">
          <cell r="E17">
            <v>57</v>
          </cell>
          <cell r="F17">
            <v>1004</v>
          </cell>
        </row>
        <row r="18">
          <cell r="E18">
            <v>1749</v>
          </cell>
          <cell r="F18">
            <v>1874</v>
          </cell>
        </row>
        <row r="19">
          <cell r="E19">
            <v>40665</v>
          </cell>
          <cell r="F19">
            <v>37551</v>
          </cell>
        </row>
        <row r="20">
          <cell r="E20">
            <v>13078</v>
          </cell>
          <cell r="F20">
            <v>35900</v>
          </cell>
        </row>
        <row r="21">
          <cell r="E21">
            <v>263173</v>
          </cell>
          <cell r="F21">
            <v>313770</v>
          </cell>
        </row>
        <row r="25">
          <cell r="E25">
            <v>7984</v>
          </cell>
          <cell r="F25">
            <v>6483</v>
          </cell>
        </row>
        <row r="26">
          <cell r="E26">
            <v>7984</v>
          </cell>
          <cell r="F26">
            <v>6483</v>
          </cell>
        </row>
      </sheetData>
      <sheetData sheetId="10">
        <row r="2">
          <cell r="E2">
            <v>30000</v>
          </cell>
          <cell r="F2">
            <v>20000</v>
          </cell>
        </row>
        <row r="3">
          <cell r="E3">
            <v>25164.182000000001</v>
          </cell>
          <cell r="F3">
            <v>28077.066000000003</v>
          </cell>
        </row>
        <row r="4">
          <cell r="E4">
            <v>121230.486</v>
          </cell>
          <cell r="F4">
            <v>115855.97099999999</v>
          </cell>
        </row>
        <row r="6">
          <cell r="E6">
            <v>106734.70576186884</v>
          </cell>
          <cell r="F6">
            <v>102442.53927391907</v>
          </cell>
        </row>
        <row r="7">
          <cell r="E7">
            <v>139152.80537437857</v>
          </cell>
          <cell r="F7">
            <v>127058.15217072394</v>
          </cell>
        </row>
        <row r="9">
          <cell r="E9">
            <v>485644.60982099484</v>
          </cell>
          <cell r="F9">
            <v>516838.97111734626</v>
          </cell>
        </row>
        <row r="10">
          <cell r="E10">
            <v>124679.33140186856</v>
          </cell>
          <cell r="F10">
            <v>81828.261518235464</v>
          </cell>
        </row>
        <row r="12">
          <cell r="E12">
            <v>1169.9000000000001</v>
          </cell>
          <cell r="F12">
            <v>1421</v>
          </cell>
        </row>
        <row r="14">
          <cell r="E14">
            <v>15429.770515429045</v>
          </cell>
          <cell r="F14">
            <v>14506.852021060015</v>
          </cell>
        </row>
        <row r="15">
          <cell r="E15">
            <v>39191.328999999998</v>
          </cell>
          <cell r="F15">
            <v>37382.300000000003</v>
          </cell>
        </row>
        <row r="16">
          <cell r="E16">
            <v>132910.61574702803</v>
          </cell>
          <cell r="F16">
            <v>102224.18399911653</v>
          </cell>
        </row>
        <row r="17">
          <cell r="E17">
            <v>21963.183000000001</v>
          </cell>
          <cell r="F17">
            <v>13138.417000000001</v>
          </cell>
        </row>
        <row r="19">
          <cell r="E19">
            <v>256774.607837435</v>
          </cell>
          <cell r="F19">
            <v>219352.01374078059</v>
          </cell>
        </row>
        <row r="20">
          <cell r="E20">
            <v>1500045.5264590029</v>
          </cell>
          <cell r="F20">
            <v>1380125.7278411819</v>
          </cell>
        </row>
        <row r="24">
          <cell r="E24">
            <v>54711.707263018681</v>
          </cell>
          <cell r="F24">
            <v>13541.382354378689</v>
          </cell>
        </row>
        <row r="25">
          <cell r="E25">
            <v>10081.882637017003</v>
          </cell>
          <cell r="F25">
            <v>4859.4519361989096</v>
          </cell>
        </row>
        <row r="26">
          <cell r="E26">
            <v>3617.4660013581438</v>
          </cell>
          <cell r="F26">
            <v>700</v>
          </cell>
        </row>
        <row r="27">
          <cell r="E27">
            <v>10062.898342416405</v>
          </cell>
          <cell r="F27">
            <v>3944.2415699282237</v>
          </cell>
        </row>
        <row r="28">
          <cell r="E28">
            <v>41716.295069115979</v>
          </cell>
          <cell r="F28">
            <v>9400</v>
          </cell>
        </row>
        <row r="29">
          <cell r="E29">
            <v>120190.24931292621</v>
          </cell>
          <cell r="F29">
            <v>32445.075860505825</v>
          </cell>
        </row>
      </sheetData>
      <sheetData sheetId="11"/>
      <sheetData sheetId="12">
        <row r="5">
          <cell r="E5">
            <v>130000</v>
          </cell>
          <cell r="F5">
            <v>150000</v>
          </cell>
        </row>
        <row r="6">
          <cell r="E6">
            <v>22000</v>
          </cell>
          <cell r="F6">
            <v>25000</v>
          </cell>
        </row>
        <row r="7">
          <cell r="E7">
            <v>215000</v>
          </cell>
          <cell r="F7">
            <v>240000</v>
          </cell>
        </row>
        <row r="8">
          <cell r="E8">
            <v>160000</v>
          </cell>
          <cell r="F8">
            <v>180000</v>
          </cell>
        </row>
        <row r="9">
          <cell r="E9">
            <v>45000</v>
          </cell>
          <cell r="F9">
            <v>60000</v>
          </cell>
        </row>
        <row r="10">
          <cell r="E10">
            <v>65000</v>
          </cell>
          <cell r="F10">
            <v>80000</v>
          </cell>
        </row>
        <row r="12">
          <cell r="E12">
            <v>50000</v>
          </cell>
          <cell r="F12">
            <v>55000</v>
          </cell>
        </row>
        <row r="13">
          <cell r="E13">
            <v>45000</v>
          </cell>
          <cell r="F13">
            <v>50000</v>
          </cell>
        </row>
        <row r="14">
          <cell r="E14">
            <v>155000</v>
          </cell>
          <cell r="F14">
            <v>185000</v>
          </cell>
        </row>
        <row r="15">
          <cell r="E15">
            <v>90000</v>
          </cell>
          <cell r="F15">
            <v>100000</v>
          </cell>
        </row>
        <row r="17">
          <cell r="E17">
            <v>90000</v>
          </cell>
          <cell r="F17">
            <v>100000</v>
          </cell>
        </row>
        <row r="18">
          <cell r="E18">
            <v>1067000</v>
          </cell>
          <cell r="F18">
            <v>1225000</v>
          </cell>
        </row>
        <row r="22">
          <cell r="E22">
            <v>50000</v>
          </cell>
          <cell r="F22">
            <v>40000</v>
          </cell>
        </row>
        <row r="24">
          <cell r="E24">
            <v>6000</v>
          </cell>
        </row>
        <row r="25">
          <cell r="E25">
            <v>56000</v>
          </cell>
          <cell r="F25">
            <v>40000</v>
          </cell>
        </row>
      </sheetData>
      <sheetData sheetId="13"/>
      <sheetData sheetId="14"/>
      <sheetData sheetId="15">
        <row r="2">
          <cell r="E2">
            <v>24027.290997379077</v>
          </cell>
          <cell r="F2">
            <v>17806.90735584747</v>
          </cell>
        </row>
        <row r="3">
          <cell r="E3">
            <v>11879.774879953353</v>
          </cell>
          <cell r="F3">
            <v>12728.653276086794</v>
          </cell>
        </row>
        <row r="4">
          <cell r="E4">
            <v>123731.78916834878</v>
          </cell>
          <cell r="F4">
            <v>117559.07418380084</v>
          </cell>
        </row>
        <row r="5">
          <cell r="E5">
            <v>24481.436525786292</v>
          </cell>
          <cell r="F5">
            <v>22464.407475185351</v>
          </cell>
        </row>
        <row r="6">
          <cell r="E6">
            <v>11761.094627701705</v>
          </cell>
          <cell r="F6">
            <v>12856.945345728149</v>
          </cell>
        </row>
        <row r="7">
          <cell r="E7">
            <v>28969.3</v>
          </cell>
          <cell r="F7">
            <v>23760.92</v>
          </cell>
        </row>
        <row r="8">
          <cell r="E8">
            <v>224850.6861991692</v>
          </cell>
          <cell r="F8">
            <v>207176.90763664857</v>
          </cell>
        </row>
        <row r="12">
          <cell r="E12">
            <v>987.44052249683909</v>
          </cell>
          <cell r="F12">
            <v>1307.1817497566828</v>
          </cell>
        </row>
        <row r="13">
          <cell r="E13">
            <v>3347.4715390946508</v>
          </cell>
          <cell r="F13">
            <v>2959.8792187082263</v>
          </cell>
        </row>
        <row r="14">
          <cell r="E14">
            <v>27436.311882599279</v>
          </cell>
          <cell r="F14">
            <v>48038.209753971059</v>
          </cell>
        </row>
        <row r="15">
          <cell r="E15">
            <v>461.20697575157243</v>
          </cell>
          <cell r="F15">
            <v>772.31655673697594</v>
          </cell>
        </row>
        <row r="16">
          <cell r="E16">
            <v>3179.0195831622013</v>
          </cell>
          <cell r="F16">
            <v>2721.9822472078704</v>
          </cell>
        </row>
        <row r="17">
          <cell r="E17">
            <v>35411.450503104541</v>
          </cell>
          <cell r="F17">
            <v>55799.569526380816</v>
          </cell>
        </row>
      </sheetData>
      <sheetData sheetId="16">
        <row r="2">
          <cell r="E2">
            <v>2105</v>
          </cell>
          <cell r="F2">
            <v>651</v>
          </cell>
        </row>
        <row r="3">
          <cell r="E3">
            <v>10033</v>
          </cell>
          <cell r="F3">
            <v>9101</v>
          </cell>
        </row>
        <row r="4">
          <cell r="E4">
            <v>168</v>
          </cell>
          <cell r="F4">
            <v>0</v>
          </cell>
        </row>
        <row r="5">
          <cell r="E5">
            <v>18</v>
          </cell>
          <cell r="F5">
            <v>11</v>
          </cell>
        </row>
        <row r="6">
          <cell r="E6">
            <v>23903</v>
          </cell>
          <cell r="F6">
            <v>19317</v>
          </cell>
        </row>
        <row r="7">
          <cell r="E7">
            <v>58</v>
          </cell>
          <cell r="F7">
            <v>21</v>
          </cell>
        </row>
        <row r="8">
          <cell r="E8">
            <v>11371</v>
          </cell>
          <cell r="F8">
            <v>9630</v>
          </cell>
        </row>
        <row r="9">
          <cell r="E9">
            <v>352</v>
          </cell>
          <cell r="F9">
            <v>420</v>
          </cell>
        </row>
        <row r="10">
          <cell r="E10">
            <v>359</v>
          </cell>
          <cell r="F10">
            <v>211</v>
          </cell>
        </row>
        <row r="11">
          <cell r="E11">
            <v>2579</v>
          </cell>
          <cell r="F11">
            <v>1491</v>
          </cell>
        </row>
        <row r="12">
          <cell r="E12">
            <v>187</v>
          </cell>
          <cell r="F12">
            <v>10</v>
          </cell>
        </row>
        <row r="13">
          <cell r="E13">
            <v>87</v>
          </cell>
          <cell r="F13">
            <v>11</v>
          </cell>
        </row>
        <row r="14">
          <cell r="E14">
            <v>467</v>
          </cell>
          <cell r="F14">
            <v>477</v>
          </cell>
        </row>
        <row r="15">
          <cell r="E15">
            <v>29</v>
          </cell>
          <cell r="F15">
            <v>16</v>
          </cell>
        </row>
        <row r="16">
          <cell r="E16">
            <v>1028</v>
          </cell>
          <cell r="F16">
            <v>716</v>
          </cell>
        </row>
        <row r="17">
          <cell r="E17">
            <v>4717</v>
          </cell>
          <cell r="F17">
            <v>3168</v>
          </cell>
        </row>
        <row r="18">
          <cell r="E18">
            <v>14396</v>
          </cell>
          <cell r="F18">
            <v>11698</v>
          </cell>
        </row>
        <row r="19">
          <cell r="E19">
            <v>71857</v>
          </cell>
          <cell r="F19">
            <v>56949</v>
          </cell>
        </row>
        <row r="23">
          <cell r="E23">
            <v>5774</v>
          </cell>
          <cell r="F23">
            <v>4382</v>
          </cell>
        </row>
        <row r="24">
          <cell r="E24">
            <v>2223</v>
          </cell>
          <cell r="F24">
            <v>471</v>
          </cell>
        </row>
        <row r="25">
          <cell r="E25">
            <v>1516</v>
          </cell>
          <cell r="F25">
            <v>406</v>
          </cell>
        </row>
        <row r="26">
          <cell r="E26">
            <v>175</v>
          </cell>
          <cell r="F26">
            <v>0</v>
          </cell>
        </row>
        <row r="27">
          <cell r="E27">
            <v>1188</v>
          </cell>
          <cell r="F27">
            <v>722</v>
          </cell>
        </row>
        <row r="28">
          <cell r="E28">
            <v>10876</v>
          </cell>
          <cell r="F28">
            <v>5981</v>
          </cell>
        </row>
      </sheetData>
      <sheetData sheetId="17">
        <row r="2">
          <cell r="E2">
            <v>4915</v>
          </cell>
          <cell r="F2">
            <v>4123</v>
          </cell>
        </row>
        <row r="3">
          <cell r="E3">
            <v>52869</v>
          </cell>
          <cell r="F3">
            <v>47141</v>
          </cell>
        </row>
        <row r="4">
          <cell r="E4">
            <v>2338</v>
          </cell>
          <cell r="F4">
            <v>3096</v>
          </cell>
        </row>
        <row r="5">
          <cell r="E5">
            <v>34567</v>
          </cell>
          <cell r="F5">
            <v>33966</v>
          </cell>
        </row>
        <row r="6">
          <cell r="E6">
            <v>21208</v>
          </cell>
          <cell r="F6">
            <v>24627</v>
          </cell>
        </row>
        <row r="7">
          <cell r="E7">
            <v>4865</v>
          </cell>
          <cell r="F7">
            <v>4105</v>
          </cell>
        </row>
        <row r="8">
          <cell r="E8">
            <v>120762</v>
          </cell>
          <cell r="F8">
            <v>117058</v>
          </cell>
        </row>
        <row r="12">
          <cell r="E12">
            <v>189849</v>
          </cell>
          <cell r="F12">
            <v>206991</v>
          </cell>
        </row>
        <row r="13">
          <cell r="E13">
            <v>5500</v>
          </cell>
          <cell r="F13">
            <v>8116</v>
          </cell>
        </row>
        <row r="14">
          <cell r="E14">
            <v>23588</v>
          </cell>
          <cell r="F14">
            <v>22701</v>
          </cell>
        </row>
        <row r="15">
          <cell r="E15">
            <v>218937</v>
          </cell>
          <cell r="F15">
            <v>237808</v>
          </cell>
        </row>
      </sheetData>
      <sheetData sheetId="18">
        <row r="2">
          <cell r="E2">
            <v>28093</v>
          </cell>
        </row>
        <row r="3">
          <cell r="E3">
            <v>7976</v>
          </cell>
        </row>
        <row r="4">
          <cell r="E4">
            <v>5529</v>
          </cell>
        </row>
        <row r="5">
          <cell r="E5">
            <v>1704</v>
          </cell>
        </row>
        <row r="6">
          <cell r="E6">
            <v>52222</v>
          </cell>
        </row>
        <row r="11">
          <cell r="E11">
            <v>18141</v>
          </cell>
        </row>
        <row r="12">
          <cell r="E12">
            <v>113665</v>
          </cell>
        </row>
        <row r="16">
          <cell r="E16">
            <v>9145</v>
          </cell>
        </row>
        <row r="18">
          <cell r="E18">
            <v>143</v>
          </cell>
        </row>
        <row r="19">
          <cell r="E19">
            <v>9288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tro"/>
      <sheetName val="US"/>
      <sheetName val="EU - country"/>
      <sheetName val="EU variety"/>
      <sheetName val="Sheet11"/>
      <sheetName val="EU - variety"/>
      <sheetName val="Austria"/>
      <sheetName val="Belgium"/>
      <sheetName val="Czech Republic"/>
      <sheetName val="Denmark"/>
      <sheetName val="Finland"/>
      <sheetName val="France"/>
      <sheetName val="Germany"/>
      <sheetName val="Italy"/>
      <sheetName val="Poland"/>
      <sheetName val="Portugal"/>
      <sheetName val="Slovakia"/>
      <sheetName val="Spain"/>
      <sheetName val="Switzerland"/>
      <sheetName val="Netherlands"/>
      <sheetName val="UK"/>
      <sheetName val="Sheet16"/>
    </sheetNames>
    <sheetDataSet>
      <sheetData sheetId="0"/>
      <sheetData sheetId="1">
        <row r="2">
          <cell r="C2"/>
        </row>
      </sheetData>
      <sheetData sheetId="2">
        <row r="2">
          <cell r="C2">
            <v>66652.393746205213</v>
          </cell>
        </row>
        <row r="27">
          <cell r="C27">
            <v>83563</v>
          </cell>
          <cell r="D27">
            <v>76885</v>
          </cell>
        </row>
      </sheetData>
      <sheetData sheetId="3">
        <row r="2">
          <cell r="C2">
            <v>40000</v>
          </cell>
        </row>
        <row r="42">
          <cell r="C42">
            <v>83563</v>
          </cell>
          <cell r="D42">
            <v>76885</v>
          </cell>
        </row>
      </sheetData>
      <sheetData sheetId="4"/>
      <sheetData sheetId="5"/>
      <sheetData sheetId="6">
        <row r="2">
          <cell r="C2">
            <v>145.83333333333331</v>
          </cell>
        </row>
      </sheetData>
      <sheetData sheetId="7">
        <row r="2">
          <cell r="C2">
            <v>3137.014750364739</v>
          </cell>
        </row>
      </sheetData>
      <sheetData sheetId="8">
        <row r="2">
          <cell r="C2">
            <v>2563</v>
          </cell>
        </row>
      </sheetData>
      <sheetData sheetId="9">
        <row r="2">
          <cell r="C2">
            <v>65</v>
          </cell>
        </row>
      </sheetData>
      <sheetData sheetId="10"/>
      <sheetData sheetId="11">
        <row r="2">
          <cell r="C2">
            <v>8959</v>
          </cell>
        </row>
      </sheetData>
      <sheetData sheetId="12">
        <row r="2">
          <cell r="C2">
            <v>7962</v>
          </cell>
        </row>
      </sheetData>
      <sheetData sheetId="13">
        <row r="2">
          <cell r="C2">
            <v>40000</v>
          </cell>
        </row>
      </sheetData>
      <sheetData sheetId="14">
        <row r="2">
          <cell r="C2"/>
        </row>
      </sheetData>
      <sheetData sheetId="15">
        <row r="13">
          <cell r="C13">
            <v>83563</v>
          </cell>
          <cell r="D13">
            <v>76885</v>
          </cell>
        </row>
      </sheetData>
      <sheetData sheetId="16"/>
      <sheetData sheetId="17">
        <row r="2">
          <cell r="C2">
            <v>20720.937378673367</v>
          </cell>
        </row>
      </sheetData>
      <sheetData sheetId="18">
        <row r="2">
          <cell r="C2">
            <v>2546</v>
          </cell>
        </row>
      </sheetData>
      <sheetData sheetId="19">
        <row r="2">
          <cell r="C2">
            <v>5211</v>
          </cell>
        </row>
      </sheetData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9:G39"/>
  <sheetViews>
    <sheetView workbookViewId="0"/>
  </sheetViews>
  <sheetFormatPr defaultColWidth="9.109375" defaultRowHeight="13.2" x14ac:dyDescent="0.25"/>
  <cols>
    <col min="3" max="3" width="18.44140625" customWidth="1"/>
  </cols>
  <sheetData>
    <row r="19" spans="2:7" x14ac:dyDescent="0.25">
      <c r="B19" s="3" t="s">
        <v>184</v>
      </c>
      <c r="G19" s="8" t="s">
        <v>132</v>
      </c>
    </row>
    <row r="21" spans="2:7" x14ac:dyDescent="0.25">
      <c r="B21" t="s">
        <v>62</v>
      </c>
      <c r="C21" t="s">
        <v>63</v>
      </c>
    </row>
    <row r="22" spans="2:7" x14ac:dyDescent="0.25">
      <c r="C22" t="s">
        <v>64</v>
      </c>
    </row>
    <row r="23" spans="2:7" x14ac:dyDescent="0.25">
      <c r="C23" t="s">
        <v>90</v>
      </c>
    </row>
    <row r="24" spans="2:7" x14ac:dyDescent="0.25">
      <c r="C24" s="3" t="s">
        <v>118</v>
      </c>
    </row>
    <row r="26" spans="2:7" x14ac:dyDescent="0.25">
      <c r="B26" t="s">
        <v>65</v>
      </c>
      <c r="C26" t="s">
        <v>66</v>
      </c>
      <c r="D26" t="s">
        <v>67</v>
      </c>
    </row>
    <row r="27" spans="2:7" x14ac:dyDescent="0.25">
      <c r="C27" t="s">
        <v>68</v>
      </c>
      <c r="D27" t="s">
        <v>69</v>
      </c>
    </row>
    <row r="28" spans="2:7" x14ac:dyDescent="0.25">
      <c r="C28" t="s">
        <v>70</v>
      </c>
      <c r="D28" t="s">
        <v>71</v>
      </c>
    </row>
    <row r="29" spans="2:7" x14ac:dyDescent="0.25">
      <c r="C29" t="s">
        <v>72</v>
      </c>
      <c r="D29" s="3" t="s">
        <v>86</v>
      </c>
    </row>
    <row r="30" spans="2:7" x14ac:dyDescent="0.25">
      <c r="C30" s="3" t="s">
        <v>136</v>
      </c>
      <c r="D30" t="s">
        <v>73</v>
      </c>
    </row>
    <row r="31" spans="2:7" x14ac:dyDescent="0.25">
      <c r="C31" t="s">
        <v>74</v>
      </c>
      <c r="D31" t="s">
        <v>131</v>
      </c>
    </row>
    <row r="32" spans="2:7" x14ac:dyDescent="0.25">
      <c r="C32" t="s">
        <v>75</v>
      </c>
      <c r="D32" t="s">
        <v>130</v>
      </c>
    </row>
    <row r="33" spans="3:4" x14ac:dyDescent="0.25">
      <c r="C33" t="s">
        <v>76</v>
      </c>
      <c r="D33" t="s">
        <v>77</v>
      </c>
    </row>
    <row r="34" spans="3:4" x14ac:dyDescent="0.25">
      <c r="C34" t="s">
        <v>78</v>
      </c>
      <c r="D34" s="15" t="s">
        <v>85</v>
      </c>
    </row>
    <row r="35" spans="3:4" x14ac:dyDescent="0.25">
      <c r="C35" t="s">
        <v>146</v>
      </c>
      <c r="D35" s="15" t="s">
        <v>147</v>
      </c>
    </row>
    <row r="36" spans="3:4" x14ac:dyDescent="0.25">
      <c r="C36" t="s">
        <v>80</v>
      </c>
      <c r="D36" t="s">
        <v>156</v>
      </c>
    </row>
    <row r="37" spans="3:4" x14ac:dyDescent="0.25">
      <c r="C37" t="s">
        <v>79</v>
      </c>
      <c r="D37" t="s">
        <v>84</v>
      </c>
    </row>
    <row r="38" spans="3:4" x14ac:dyDescent="0.25">
      <c r="C38" t="s">
        <v>81</v>
      </c>
      <c r="D38" t="s">
        <v>83</v>
      </c>
    </row>
    <row r="39" spans="3:4" x14ac:dyDescent="0.25">
      <c r="C39" t="s">
        <v>82</v>
      </c>
      <c r="D39" s="3" t="s">
        <v>171</v>
      </c>
    </row>
  </sheetData>
  <phoneticPr fontId="2" type="noConversion"/>
  <pageMargins left="0.75" right="0.75" top="1" bottom="1" header="0.5" footer="0.5"/>
  <pageSetup paperSize="9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X50"/>
  <sheetViews>
    <sheetView zoomScaleNormal="100" workbookViewId="0"/>
  </sheetViews>
  <sheetFormatPr defaultColWidth="9.109375" defaultRowHeight="13.2" x14ac:dyDescent="0.25"/>
  <cols>
    <col min="1" max="1" width="24.6640625" customWidth="1"/>
    <col min="2" max="2" width="10.6640625" customWidth="1"/>
    <col min="3" max="12" width="11.33203125" customWidth="1"/>
    <col min="13" max="23" width="10.109375" bestFit="1" customWidth="1"/>
  </cols>
  <sheetData>
    <row r="1" spans="1:24" ht="13.8" thickBot="1" x14ac:dyDescent="0.3">
      <c r="A1" s="36" t="s">
        <v>24</v>
      </c>
      <c r="B1" s="20" t="s">
        <v>182</v>
      </c>
      <c r="C1" s="46" t="s">
        <v>183</v>
      </c>
      <c r="D1" s="79" t="s">
        <v>180</v>
      </c>
      <c r="E1" s="127">
        <v>45658</v>
      </c>
      <c r="F1" s="82">
        <v>45292</v>
      </c>
      <c r="G1" s="82">
        <v>44927</v>
      </c>
      <c r="H1" s="82">
        <v>44562</v>
      </c>
      <c r="I1" s="82">
        <v>44197</v>
      </c>
      <c r="J1" s="82">
        <v>43831</v>
      </c>
      <c r="K1" s="82">
        <v>43466</v>
      </c>
      <c r="L1" s="21">
        <v>43101</v>
      </c>
      <c r="M1" s="21">
        <v>42736</v>
      </c>
      <c r="N1" s="21">
        <v>42370</v>
      </c>
      <c r="O1" s="21">
        <v>42005</v>
      </c>
      <c r="P1" s="21">
        <v>41640</v>
      </c>
      <c r="Q1" s="21">
        <v>41275</v>
      </c>
      <c r="R1" s="21">
        <v>40909</v>
      </c>
      <c r="S1" s="21">
        <v>40544</v>
      </c>
      <c r="T1" s="21">
        <v>40179</v>
      </c>
      <c r="U1" s="21">
        <v>39814</v>
      </c>
      <c r="V1" s="21">
        <v>39448</v>
      </c>
      <c r="W1" s="22">
        <v>39083</v>
      </c>
    </row>
    <row r="2" spans="1:24" x14ac:dyDescent="0.25">
      <c r="A2" s="37" t="s">
        <v>4</v>
      </c>
      <c r="B2" s="44">
        <f>IFERROR((E2/F2-1), "")</f>
        <v>-0.53277236492471214</v>
      </c>
      <c r="C2" s="75">
        <f>E2-[1]Germany!E2</f>
        <v>-2413</v>
      </c>
      <c r="D2" s="35">
        <f>F2-[1]Germany!F2</f>
        <v>-2914</v>
      </c>
      <c r="E2" s="40">
        <v>3165</v>
      </c>
      <c r="F2" s="35">
        <v>6774</v>
      </c>
      <c r="G2" s="35">
        <v>7010</v>
      </c>
      <c r="H2" s="35">
        <v>9522</v>
      </c>
      <c r="I2" s="35">
        <v>2328</v>
      </c>
      <c r="J2" s="35">
        <v>6803</v>
      </c>
      <c r="K2" s="35">
        <v>8950</v>
      </c>
      <c r="L2" s="35">
        <v>702</v>
      </c>
      <c r="M2" s="35">
        <v>10881</v>
      </c>
      <c r="N2" s="35">
        <v>6198</v>
      </c>
      <c r="O2" s="35">
        <v>10233</v>
      </c>
      <c r="P2" s="35">
        <v>4143</v>
      </c>
      <c r="Q2" s="35">
        <v>6189</v>
      </c>
      <c r="R2" s="35">
        <v>4003</v>
      </c>
      <c r="S2" s="35">
        <v>5189</v>
      </c>
      <c r="T2" s="35">
        <v>4306</v>
      </c>
      <c r="U2" s="35">
        <v>9183</v>
      </c>
      <c r="V2" s="35">
        <v>6943</v>
      </c>
      <c r="W2" s="65">
        <v>10063</v>
      </c>
    </row>
    <row r="3" spans="1:24" x14ac:dyDescent="0.25">
      <c r="A3" s="37" t="s">
        <v>11</v>
      </c>
      <c r="B3" s="44">
        <f t="shared" ref="B3:B50" si="0">IFERROR((E3/F3-1), "")</f>
        <v>-0.1617515923566879</v>
      </c>
      <c r="C3" s="75">
        <f>E3-[1]Germany!E3</f>
        <v>-5307</v>
      </c>
      <c r="D3" s="35">
        <f>F3-[1]Germany!F3</f>
        <v>-5581</v>
      </c>
      <c r="E3" s="40">
        <v>26321</v>
      </c>
      <c r="F3" s="35">
        <v>31400</v>
      </c>
      <c r="G3" s="35">
        <v>42680</v>
      </c>
      <c r="H3" s="35">
        <v>37898</v>
      </c>
      <c r="I3" s="35">
        <v>38873</v>
      </c>
      <c r="J3" s="35">
        <v>38448</v>
      </c>
      <c r="K3" s="35">
        <v>43773</v>
      </c>
      <c r="L3" s="35">
        <v>19998</v>
      </c>
      <c r="M3" s="35">
        <v>36163</v>
      </c>
      <c r="N3" s="35">
        <v>45821</v>
      </c>
      <c r="O3" s="35">
        <v>38331</v>
      </c>
      <c r="P3" s="35">
        <v>29700</v>
      </c>
      <c r="Q3" s="35">
        <v>33578</v>
      </c>
      <c r="R3" s="35">
        <v>29026</v>
      </c>
      <c r="S3" s="35">
        <v>24496</v>
      </c>
      <c r="T3" s="35">
        <v>24596</v>
      </c>
      <c r="U3" s="35">
        <v>19788</v>
      </c>
      <c r="V3" s="35">
        <v>18326</v>
      </c>
      <c r="W3" s="65">
        <v>13447</v>
      </c>
    </row>
    <row r="4" spans="1:24" x14ac:dyDescent="0.25">
      <c r="A4" s="37" t="s">
        <v>5</v>
      </c>
      <c r="B4" s="44" t="str">
        <f t="shared" si="0"/>
        <v/>
      </c>
      <c r="C4" s="75">
        <f>E4-[1]Germany!E4</f>
        <v>0</v>
      </c>
      <c r="D4" s="35">
        <f>F4-[1]Germany!F4</f>
        <v>0</v>
      </c>
      <c r="E4" s="40">
        <v>0</v>
      </c>
      <c r="F4" s="35">
        <v>0</v>
      </c>
      <c r="G4" s="35">
        <v>0</v>
      </c>
      <c r="H4" s="35">
        <v>0</v>
      </c>
      <c r="I4" s="35">
        <v>43</v>
      </c>
      <c r="J4" s="35">
        <v>5</v>
      </c>
      <c r="K4" s="35">
        <v>199</v>
      </c>
      <c r="L4" s="35">
        <v>0</v>
      </c>
      <c r="M4" s="35">
        <v>207</v>
      </c>
      <c r="N4" s="35">
        <v>537</v>
      </c>
      <c r="O4" s="35">
        <v>289</v>
      </c>
      <c r="P4" s="35">
        <v>90</v>
      </c>
      <c r="Q4" s="35">
        <v>53</v>
      </c>
      <c r="R4" s="35">
        <v>478</v>
      </c>
      <c r="S4" s="35">
        <v>571</v>
      </c>
      <c r="T4" s="35">
        <v>1579</v>
      </c>
      <c r="U4" s="35">
        <v>1565</v>
      </c>
      <c r="V4" s="35">
        <v>1292</v>
      </c>
      <c r="W4" s="65">
        <v>2818</v>
      </c>
    </row>
    <row r="5" spans="1:24" x14ac:dyDescent="0.25">
      <c r="A5" s="37" t="s">
        <v>2</v>
      </c>
      <c r="B5" s="44">
        <f t="shared" si="0"/>
        <v>0.17632200091101091</v>
      </c>
      <c r="C5" s="75">
        <f>E5-[1]Germany!E5</f>
        <v>-8715</v>
      </c>
      <c r="D5" s="35">
        <f>F5-[1]Germany!F5</f>
        <v>-9498</v>
      </c>
      <c r="E5" s="40">
        <v>56814</v>
      </c>
      <c r="F5" s="35">
        <v>48298</v>
      </c>
      <c r="G5" s="35">
        <v>83167</v>
      </c>
      <c r="H5" s="35">
        <v>57376</v>
      </c>
      <c r="I5" s="35">
        <v>53563</v>
      </c>
      <c r="J5" s="35">
        <v>62298</v>
      </c>
      <c r="K5" s="35">
        <v>55878</v>
      </c>
      <c r="L5" s="35">
        <v>35493</v>
      </c>
      <c r="M5" s="35">
        <v>55011</v>
      </c>
      <c r="N5" s="35">
        <v>61127</v>
      </c>
      <c r="O5" s="35">
        <v>70216</v>
      </c>
      <c r="P5" s="35">
        <v>46394</v>
      </c>
      <c r="Q5" s="35">
        <v>50689</v>
      </c>
      <c r="R5" s="35">
        <v>56050</v>
      </c>
      <c r="S5" s="35">
        <v>44377</v>
      </c>
      <c r="T5" s="35">
        <v>65891</v>
      </c>
      <c r="U5" s="35">
        <v>43025</v>
      </c>
      <c r="V5" s="35">
        <v>57203</v>
      </c>
      <c r="W5" s="65">
        <v>50897</v>
      </c>
    </row>
    <row r="6" spans="1:24" x14ac:dyDescent="0.25">
      <c r="A6" s="37" t="s">
        <v>12</v>
      </c>
      <c r="B6" s="44">
        <f t="shared" si="0"/>
        <v>0.31263069845253022</v>
      </c>
      <c r="C6" s="75">
        <f>E6-[1]Germany!E6</f>
        <v>-91</v>
      </c>
      <c r="D6" s="35">
        <f>F6-[1]Germany!F6</f>
        <v>-639</v>
      </c>
      <c r="E6" s="40">
        <v>6277</v>
      </c>
      <c r="F6" s="35">
        <v>4782</v>
      </c>
      <c r="G6" s="35">
        <v>7182</v>
      </c>
      <c r="H6" s="35">
        <v>5935</v>
      </c>
      <c r="I6" s="35">
        <v>8606</v>
      </c>
      <c r="J6" s="35">
        <v>7073</v>
      </c>
      <c r="K6" s="35">
        <v>10918</v>
      </c>
      <c r="L6" s="35">
        <v>3174</v>
      </c>
      <c r="M6" s="35">
        <v>7681</v>
      </c>
      <c r="N6" s="35">
        <v>8744</v>
      </c>
      <c r="O6" s="35">
        <v>8814</v>
      </c>
      <c r="P6" s="35">
        <v>8438</v>
      </c>
      <c r="Q6" s="35">
        <v>6136</v>
      </c>
      <c r="R6" s="35">
        <v>7326</v>
      </c>
      <c r="S6" s="35">
        <v>5598</v>
      </c>
      <c r="T6" s="35">
        <v>6133</v>
      </c>
      <c r="U6" s="35">
        <v>5134</v>
      </c>
      <c r="V6" s="35">
        <v>5131</v>
      </c>
      <c r="W6" s="65">
        <v>2692</v>
      </c>
    </row>
    <row r="7" spans="1:24" x14ac:dyDescent="0.25">
      <c r="A7" s="37" t="s">
        <v>9</v>
      </c>
      <c r="B7" s="44">
        <f t="shared" si="0"/>
        <v>-0.42093442804020476</v>
      </c>
      <c r="C7" s="75">
        <f>E7-[1]Germany!E7</f>
        <v>-2799</v>
      </c>
      <c r="D7" s="35">
        <f>F7-[1]Germany!F7</f>
        <v>-3865</v>
      </c>
      <c r="E7" s="40">
        <v>15728</v>
      </c>
      <c r="F7" s="35">
        <v>27161</v>
      </c>
      <c r="G7" s="35">
        <v>27596</v>
      </c>
      <c r="H7" s="35">
        <v>27672</v>
      </c>
      <c r="I7" s="35">
        <v>28222</v>
      </c>
      <c r="J7" s="35">
        <v>20878</v>
      </c>
      <c r="K7" s="35">
        <v>23897</v>
      </c>
      <c r="L7" s="35">
        <v>14119</v>
      </c>
      <c r="M7" s="35">
        <v>19721</v>
      </c>
      <c r="N7" s="35">
        <v>21277</v>
      </c>
      <c r="O7" s="35">
        <v>15451</v>
      </c>
      <c r="P7" s="35">
        <v>16700</v>
      </c>
      <c r="Q7" s="35">
        <v>17448</v>
      </c>
      <c r="R7" s="35">
        <v>15911</v>
      </c>
      <c r="S7" s="35">
        <v>11699</v>
      </c>
      <c r="T7" s="35">
        <v>13704</v>
      </c>
      <c r="U7" s="35">
        <v>15431</v>
      </c>
      <c r="V7" s="35">
        <v>12795</v>
      </c>
      <c r="W7" s="65">
        <v>10843</v>
      </c>
    </row>
    <row r="8" spans="1:24" x14ac:dyDescent="0.25">
      <c r="A8" s="37" t="s">
        <v>14</v>
      </c>
      <c r="B8" s="44" t="str">
        <f t="shared" si="0"/>
        <v/>
      </c>
      <c r="C8" s="75">
        <f>E8-[1]Germany!E8</f>
        <v>0</v>
      </c>
      <c r="D8" s="35">
        <f>F8-[1]Germany!F8</f>
        <v>0</v>
      </c>
      <c r="E8" s="40">
        <v>0</v>
      </c>
      <c r="F8" s="35">
        <v>0</v>
      </c>
      <c r="G8" s="35">
        <v>0</v>
      </c>
      <c r="H8" s="35">
        <v>0</v>
      </c>
      <c r="I8" s="35">
        <v>374</v>
      </c>
      <c r="J8" s="35">
        <v>2</v>
      </c>
      <c r="K8" s="35">
        <v>816</v>
      </c>
      <c r="L8" s="35">
        <v>209</v>
      </c>
      <c r="M8" s="35">
        <v>1861</v>
      </c>
      <c r="N8" s="35">
        <v>1750</v>
      </c>
      <c r="O8" s="35">
        <v>3609</v>
      </c>
      <c r="P8" s="35">
        <v>2957</v>
      </c>
      <c r="Q8" s="35">
        <v>4930</v>
      </c>
      <c r="R8" s="35">
        <v>6523</v>
      </c>
      <c r="S8" s="35">
        <v>6721</v>
      </c>
      <c r="T8" s="35">
        <v>11050</v>
      </c>
      <c r="U8" s="35">
        <v>12687</v>
      </c>
      <c r="V8" s="35">
        <v>8934</v>
      </c>
      <c r="W8" s="65">
        <v>11000</v>
      </c>
    </row>
    <row r="9" spans="1:24" x14ac:dyDescent="0.25">
      <c r="A9" s="37" t="s">
        <v>3</v>
      </c>
      <c r="B9" s="44">
        <f t="shared" si="0"/>
        <v>-0.50790979468192532</v>
      </c>
      <c r="C9" s="75">
        <f>E9-[1]Germany!E9</f>
        <v>-213</v>
      </c>
      <c r="D9" s="35">
        <f>F9-[1]Germany!F9</f>
        <v>-331</v>
      </c>
      <c r="E9" s="40">
        <v>1462</v>
      </c>
      <c r="F9" s="35">
        <v>2971</v>
      </c>
      <c r="G9" s="35">
        <v>2514</v>
      </c>
      <c r="H9" s="35">
        <v>2958</v>
      </c>
      <c r="I9" s="35">
        <v>4304</v>
      </c>
      <c r="J9" s="35">
        <v>3317</v>
      </c>
      <c r="K9" s="35">
        <v>3831</v>
      </c>
      <c r="L9" s="35">
        <v>3617</v>
      </c>
      <c r="M9" s="35">
        <v>8432</v>
      </c>
      <c r="N9" s="35">
        <v>8877</v>
      </c>
      <c r="O9" s="35">
        <v>8725</v>
      </c>
      <c r="P9" s="35">
        <v>11363</v>
      </c>
      <c r="Q9" s="35">
        <v>14483</v>
      </c>
      <c r="R9" s="35">
        <v>18225</v>
      </c>
      <c r="S9" s="35">
        <v>13140</v>
      </c>
      <c r="T9" s="35">
        <v>18693</v>
      </c>
      <c r="U9" s="35">
        <v>22138</v>
      </c>
      <c r="V9" s="35">
        <v>18064</v>
      </c>
      <c r="W9" s="65">
        <v>17175</v>
      </c>
    </row>
    <row r="10" spans="1:24" x14ac:dyDescent="0.25">
      <c r="A10" s="37" t="s">
        <v>15</v>
      </c>
      <c r="B10" s="44">
        <f t="shared" si="0"/>
        <v>-6.0975609756097615E-2</v>
      </c>
      <c r="C10" s="75">
        <f>E10-[1]Germany!E10</f>
        <v>-244</v>
      </c>
      <c r="D10" s="35">
        <f>F10-[1]Germany!F10</f>
        <v>-341</v>
      </c>
      <c r="E10" s="40">
        <v>231</v>
      </c>
      <c r="F10" s="35">
        <v>246</v>
      </c>
      <c r="G10" s="35">
        <v>1996</v>
      </c>
      <c r="H10" s="35">
        <v>981</v>
      </c>
      <c r="I10" s="35">
        <v>1257</v>
      </c>
      <c r="J10" s="35">
        <v>504</v>
      </c>
      <c r="K10" s="35">
        <v>2590</v>
      </c>
      <c r="L10" s="35">
        <v>258</v>
      </c>
      <c r="M10" s="35">
        <v>2793</v>
      </c>
      <c r="N10" s="35">
        <v>3674</v>
      </c>
      <c r="O10" s="35">
        <v>3177</v>
      </c>
      <c r="P10" s="35">
        <v>637</v>
      </c>
      <c r="Q10" s="35">
        <v>1168</v>
      </c>
      <c r="R10" s="35">
        <v>3843</v>
      </c>
      <c r="S10" s="35">
        <v>2936</v>
      </c>
      <c r="T10" s="35">
        <v>4614</v>
      </c>
      <c r="U10" s="35">
        <v>6728</v>
      </c>
      <c r="V10" s="35">
        <v>3889</v>
      </c>
      <c r="W10" s="65">
        <v>6830</v>
      </c>
    </row>
    <row r="11" spans="1:24" x14ac:dyDescent="0.25">
      <c r="A11" s="37" t="s">
        <v>10</v>
      </c>
      <c r="B11" s="44">
        <f t="shared" si="0"/>
        <v>-0.33171619163129173</v>
      </c>
      <c r="C11" s="75">
        <f>E11-[1]Germany!E11</f>
        <v>-2</v>
      </c>
      <c r="D11" s="35">
        <f>F11-[1]Germany!F11</f>
        <v>-176</v>
      </c>
      <c r="E11" s="40">
        <v>1102</v>
      </c>
      <c r="F11" s="35">
        <v>1649</v>
      </c>
      <c r="G11" s="35">
        <v>3105</v>
      </c>
      <c r="H11" s="35">
        <v>5327</v>
      </c>
      <c r="I11" s="35">
        <v>6108</v>
      </c>
      <c r="J11" s="35">
        <v>4078</v>
      </c>
      <c r="K11" s="35">
        <v>8970</v>
      </c>
      <c r="L11" s="35">
        <v>8489</v>
      </c>
      <c r="M11" s="35">
        <v>11363</v>
      </c>
      <c r="N11" s="35">
        <v>16732</v>
      </c>
      <c r="O11" s="35">
        <v>11248</v>
      </c>
      <c r="P11" s="35">
        <v>22260</v>
      </c>
      <c r="Q11" s="35">
        <v>23329</v>
      </c>
      <c r="R11" s="35">
        <v>23287</v>
      </c>
      <c r="S11" s="35">
        <v>20909</v>
      </c>
      <c r="T11" s="35">
        <v>26370</v>
      </c>
      <c r="U11" s="35">
        <v>25999</v>
      </c>
      <c r="V11" s="35">
        <v>18367</v>
      </c>
      <c r="W11" s="65">
        <v>26223</v>
      </c>
      <c r="X11" s="1"/>
    </row>
    <row r="12" spans="1:24" x14ac:dyDescent="0.25">
      <c r="A12" s="37" t="s">
        <v>99</v>
      </c>
      <c r="B12" s="44" t="str">
        <f t="shared" si="0"/>
        <v/>
      </c>
      <c r="C12" s="75">
        <f>E12-[1]Germany!E12</f>
        <v>0</v>
      </c>
      <c r="D12" s="35">
        <f>F12-[1]Germany!F12</f>
        <v>0</v>
      </c>
      <c r="E12" s="40">
        <v>0</v>
      </c>
      <c r="F12" s="35">
        <v>0</v>
      </c>
      <c r="G12" s="35">
        <v>0</v>
      </c>
      <c r="H12" s="35">
        <v>0</v>
      </c>
      <c r="I12" s="35">
        <v>5</v>
      </c>
      <c r="J12" s="35">
        <v>0</v>
      </c>
      <c r="K12" s="35">
        <v>195</v>
      </c>
      <c r="L12" s="35">
        <v>87</v>
      </c>
      <c r="M12" s="35">
        <v>0</v>
      </c>
      <c r="N12" s="35">
        <v>177</v>
      </c>
      <c r="O12" s="35">
        <v>44</v>
      </c>
      <c r="P12" s="35">
        <v>65</v>
      </c>
      <c r="Q12" s="35">
        <v>11</v>
      </c>
      <c r="R12" s="35">
        <v>15</v>
      </c>
      <c r="S12" s="35">
        <v>161</v>
      </c>
      <c r="T12" s="35">
        <v>267</v>
      </c>
      <c r="U12" s="35">
        <v>908</v>
      </c>
      <c r="V12" s="35">
        <v>376</v>
      </c>
      <c r="W12" s="65">
        <v>247</v>
      </c>
      <c r="X12" s="1"/>
    </row>
    <row r="13" spans="1:24" x14ac:dyDescent="0.25">
      <c r="A13" s="37" t="s">
        <v>27</v>
      </c>
      <c r="B13" s="44">
        <f t="shared" si="0"/>
        <v>0.19845620315471524</v>
      </c>
      <c r="C13" s="75">
        <f>E13-[1]Germany!E13</f>
        <v>-575</v>
      </c>
      <c r="D13" s="35">
        <f>F13-[1]Germany!F13</f>
        <v>-3466</v>
      </c>
      <c r="E13" s="40">
        <v>10713</v>
      </c>
      <c r="F13" s="35">
        <v>8939</v>
      </c>
      <c r="G13" s="35">
        <v>17861</v>
      </c>
      <c r="H13" s="35">
        <v>17408</v>
      </c>
      <c r="I13" s="35">
        <v>10614</v>
      </c>
      <c r="J13" s="35">
        <v>15200</v>
      </c>
      <c r="K13" s="35">
        <v>30063</v>
      </c>
      <c r="L13" s="35">
        <v>11850</v>
      </c>
      <c r="M13" s="35">
        <v>32769</v>
      </c>
      <c r="N13" s="35">
        <v>28301</v>
      </c>
      <c r="O13" s="35">
        <v>37311</v>
      </c>
      <c r="P13" s="35">
        <v>30283</v>
      </c>
      <c r="Q13" s="35">
        <v>39359</v>
      </c>
      <c r="R13" s="35">
        <v>48415</v>
      </c>
      <c r="S13" s="35">
        <v>37978</v>
      </c>
      <c r="T13" s="35">
        <v>55500</v>
      </c>
      <c r="U13" s="35">
        <v>51152</v>
      </c>
      <c r="V13" s="35">
        <v>53427</v>
      </c>
      <c r="W13" s="65">
        <v>50691</v>
      </c>
      <c r="X13" s="1"/>
    </row>
    <row r="14" spans="1:24" x14ac:dyDescent="0.25">
      <c r="A14" s="37" t="s">
        <v>26</v>
      </c>
      <c r="B14" s="44">
        <f t="shared" si="0"/>
        <v>-0.16694051922444952</v>
      </c>
      <c r="C14" s="75">
        <f>E14-[1]Germany!E14</f>
        <v>-527</v>
      </c>
      <c r="D14" s="35">
        <f>F14-[1]Germany!F14</f>
        <v>1094</v>
      </c>
      <c r="E14" s="40">
        <v>12675</v>
      </c>
      <c r="F14" s="35">
        <v>15215</v>
      </c>
      <c r="G14" s="35">
        <v>20555</v>
      </c>
      <c r="H14" s="35">
        <v>26640</v>
      </c>
      <c r="I14" s="35">
        <v>28721</v>
      </c>
      <c r="J14" s="35">
        <v>31111</v>
      </c>
      <c r="K14" s="35">
        <v>51739</v>
      </c>
      <c r="L14" s="35">
        <v>25059</v>
      </c>
      <c r="M14" s="35">
        <v>57460</v>
      </c>
      <c r="N14" s="35">
        <v>54730</v>
      </c>
      <c r="O14" s="35">
        <v>69694</v>
      </c>
      <c r="P14" s="35">
        <v>46306</v>
      </c>
      <c r="Q14" s="35">
        <v>64981</v>
      </c>
      <c r="R14" s="35">
        <v>71801</v>
      </c>
      <c r="S14" s="35">
        <v>55219</v>
      </c>
      <c r="T14" s="35">
        <v>78075</v>
      </c>
      <c r="U14" s="35">
        <v>63326</v>
      </c>
      <c r="V14" s="35">
        <v>57751</v>
      </c>
      <c r="W14" s="65">
        <v>59613</v>
      </c>
    </row>
    <row r="15" spans="1:24" x14ac:dyDescent="0.25">
      <c r="A15" s="37" t="s">
        <v>13</v>
      </c>
      <c r="B15" s="44">
        <f t="shared" si="0"/>
        <v>-0.2852626825229565</v>
      </c>
      <c r="C15" s="75">
        <f>E15-[1]Germany!E15</f>
        <v>-694</v>
      </c>
      <c r="D15" s="35">
        <f>F15-[1]Germany!F15</f>
        <v>-1446</v>
      </c>
      <c r="E15" s="40">
        <v>4748</v>
      </c>
      <c r="F15" s="35">
        <v>6643</v>
      </c>
      <c r="G15" s="35">
        <v>7284</v>
      </c>
      <c r="H15" s="35">
        <v>7583</v>
      </c>
      <c r="I15" s="35">
        <v>8375</v>
      </c>
      <c r="J15" s="35">
        <v>7916</v>
      </c>
      <c r="K15" s="35">
        <v>10326</v>
      </c>
      <c r="L15" s="35">
        <v>7376</v>
      </c>
      <c r="M15" s="35">
        <v>12445</v>
      </c>
      <c r="N15" s="35">
        <v>12859</v>
      </c>
      <c r="O15" s="35">
        <v>13957</v>
      </c>
      <c r="P15" s="35">
        <v>11552</v>
      </c>
      <c r="Q15" s="35">
        <v>13351</v>
      </c>
      <c r="R15" s="35">
        <v>11815</v>
      </c>
      <c r="S15" s="35">
        <v>9561</v>
      </c>
      <c r="T15" s="35">
        <v>12276</v>
      </c>
      <c r="U15" s="35">
        <v>10148</v>
      </c>
      <c r="V15" s="35">
        <v>9368</v>
      </c>
      <c r="W15" s="65">
        <v>7842</v>
      </c>
    </row>
    <row r="16" spans="1:24" x14ac:dyDescent="0.25">
      <c r="A16" s="37" t="s">
        <v>134</v>
      </c>
      <c r="B16" s="44">
        <f t="shared" si="0"/>
        <v>-0.13664451439897396</v>
      </c>
      <c r="C16" s="75">
        <f>E16-[1]Germany!E16</f>
        <v>-2378</v>
      </c>
      <c r="D16" s="35">
        <f>F16-[1]Germany!F16</f>
        <v>-4738</v>
      </c>
      <c r="E16" s="40">
        <v>44430</v>
      </c>
      <c r="F16" s="35">
        <v>51462</v>
      </c>
      <c r="G16" s="35">
        <v>57120</v>
      </c>
      <c r="H16" s="35">
        <v>66582</v>
      </c>
      <c r="I16" s="35">
        <v>53828</v>
      </c>
      <c r="J16" s="35">
        <v>57332</v>
      </c>
      <c r="K16" s="35">
        <v>67585</v>
      </c>
      <c r="L16" s="35">
        <v>40123</v>
      </c>
      <c r="M16" s="35">
        <v>57760</v>
      </c>
      <c r="N16" s="35">
        <v>34212</v>
      </c>
      <c r="O16" s="35">
        <v>40062</v>
      </c>
      <c r="P16" s="35">
        <v>17831</v>
      </c>
      <c r="Q16" s="35">
        <v>27548</v>
      </c>
      <c r="R16" s="35">
        <v>21401</v>
      </c>
      <c r="S16" s="35">
        <v>15763</v>
      </c>
      <c r="T16" s="35">
        <v>18185</v>
      </c>
      <c r="U16" s="35">
        <v>12629</v>
      </c>
      <c r="V16" s="35">
        <v>11685</v>
      </c>
      <c r="W16" s="65">
        <v>5828</v>
      </c>
    </row>
    <row r="17" spans="1:23" x14ac:dyDescent="0.25">
      <c r="A17" s="37" t="s">
        <v>89</v>
      </c>
      <c r="B17" s="44">
        <f t="shared" si="0"/>
        <v>-0.99022801302931596</v>
      </c>
      <c r="C17" s="75">
        <f>E17-[1]Germany!E17</f>
        <v>-51</v>
      </c>
      <c r="D17" s="35">
        <f>F17-[1]Germany!F17</f>
        <v>-390</v>
      </c>
      <c r="E17" s="40">
        <v>6</v>
      </c>
      <c r="F17" s="35">
        <v>614</v>
      </c>
      <c r="G17" s="35">
        <v>1182</v>
      </c>
      <c r="H17" s="35">
        <v>2052</v>
      </c>
      <c r="I17" s="35">
        <v>561</v>
      </c>
      <c r="J17" s="35">
        <v>195</v>
      </c>
      <c r="K17" s="35">
        <v>1292</v>
      </c>
      <c r="L17" s="35">
        <v>1597</v>
      </c>
      <c r="M17" s="35">
        <v>3679</v>
      </c>
      <c r="N17" s="35">
        <v>2612</v>
      </c>
      <c r="O17" s="35">
        <v>2717</v>
      </c>
      <c r="P17" s="35">
        <v>660</v>
      </c>
      <c r="Q17" s="35">
        <v>3690</v>
      </c>
      <c r="R17" s="35">
        <v>3144</v>
      </c>
      <c r="S17" s="35">
        <v>2020</v>
      </c>
      <c r="T17" s="35">
        <v>2932</v>
      </c>
      <c r="U17" s="35">
        <v>2145</v>
      </c>
      <c r="V17" s="35">
        <v>2218</v>
      </c>
      <c r="W17" s="65">
        <v>1702</v>
      </c>
    </row>
    <row r="18" spans="1:23" x14ac:dyDescent="0.25">
      <c r="A18" s="37" t="s">
        <v>96</v>
      </c>
      <c r="B18" s="44">
        <f t="shared" si="0"/>
        <v>-7.2560975609756051E-2</v>
      </c>
      <c r="C18" s="75">
        <f>E18-[1]Germany!E18</f>
        <v>-228</v>
      </c>
      <c r="D18" s="35">
        <f>F18-[1]Germany!F18</f>
        <v>-234</v>
      </c>
      <c r="E18" s="40">
        <v>1521</v>
      </c>
      <c r="F18" s="35">
        <v>1640</v>
      </c>
      <c r="G18" s="35">
        <v>2700</v>
      </c>
      <c r="H18" s="35">
        <v>1618</v>
      </c>
      <c r="I18" s="35">
        <v>1823</v>
      </c>
      <c r="J18" s="35">
        <v>1845</v>
      </c>
      <c r="K18" s="35">
        <v>2635</v>
      </c>
      <c r="L18" s="35">
        <v>500</v>
      </c>
      <c r="M18" s="35">
        <v>1193</v>
      </c>
      <c r="N18" s="35">
        <v>1897</v>
      </c>
      <c r="O18" s="35">
        <v>2154</v>
      </c>
      <c r="P18" s="35">
        <v>2115</v>
      </c>
      <c r="Q18" s="35">
        <v>1890</v>
      </c>
      <c r="R18" s="35">
        <v>2233</v>
      </c>
      <c r="S18" s="35">
        <v>1863</v>
      </c>
      <c r="T18" s="35">
        <v>1722</v>
      </c>
      <c r="U18" s="35">
        <v>1571</v>
      </c>
      <c r="V18" s="35">
        <v>1829</v>
      </c>
      <c r="W18" s="65">
        <v>1008</v>
      </c>
    </row>
    <row r="19" spans="1:23" x14ac:dyDescent="0.25">
      <c r="A19" s="37" t="s">
        <v>143</v>
      </c>
      <c r="B19" s="44">
        <f t="shared" si="0"/>
        <v>-8.2045243881053165E-2</v>
      </c>
      <c r="C19" s="75">
        <f>E19-[1]Germany!E19</f>
        <v>-4023</v>
      </c>
      <c r="D19" s="35">
        <f>F19-[1]Germany!F19</f>
        <v>2366</v>
      </c>
      <c r="E19" s="40">
        <v>36642</v>
      </c>
      <c r="F19" s="35">
        <v>39917</v>
      </c>
      <c r="G19" s="35">
        <v>48394</v>
      </c>
      <c r="H19" s="35">
        <v>40115</v>
      </c>
      <c r="I19" s="35">
        <v>42342</v>
      </c>
      <c r="J19" s="35">
        <v>32372</v>
      </c>
      <c r="K19" s="35">
        <v>38377</v>
      </c>
      <c r="L19" s="35">
        <v>18310</v>
      </c>
      <c r="M19" s="35">
        <v>28189</v>
      </c>
      <c r="N19" s="35">
        <v>25928</v>
      </c>
      <c r="O19" s="35">
        <v>27091</v>
      </c>
      <c r="P19" s="35">
        <v>17417</v>
      </c>
      <c r="Q19" s="35">
        <v>15770</v>
      </c>
      <c r="R19" s="35">
        <v>13564</v>
      </c>
      <c r="S19" s="35">
        <v>7333</v>
      </c>
      <c r="T19" s="35">
        <v>7667</v>
      </c>
      <c r="U19" s="35">
        <v>2450</v>
      </c>
      <c r="V19" s="35">
        <v>3009</v>
      </c>
      <c r="W19" s="65">
        <v>1385</v>
      </c>
    </row>
    <row r="20" spans="1:23" ht="13.8" thickBot="1" x14ac:dyDescent="0.3">
      <c r="A20" s="38" t="s">
        <v>6</v>
      </c>
      <c r="B20" s="45">
        <f t="shared" si="0"/>
        <v>-0.43671875000000004</v>
      </c>
      <c r="C20" s="75">
        <f>E20-[1]Germany!E20</f>
        <v>-1542</v>
      </c>
      <c r="D20" s="35">
        <f>F20-[1]Germany!F20</f>
        <v>-15420</v>
      </c>
      <c r="E20" s="40">
        <v>11536</v>
      </c>
      <c r="F20" s="35">
        <v>20480</v>
      </c>
      <c r="G20" s="35">
        <v>13604</v>
      </c>
      <c r="H20" s="35">
        <v>4307</v>
      </c>
      <c r="I20" s="35">
        <v>4686</v>
      </c>
      <c r="J20" s="35">
        <v>5903</v>
      </c>
      <c r="K20" s="35">
        <v>8317</v>
      </c>
      <c r="L20" s="35">
        <v>2406</v>
      </c>
      <c r="M20" s="34">
        <v>6098</v>
      </c>
      <c r="N20" s="34">
        <v>4724</v>
      </c>
      <c r="O20" s="34">
        <v>7480</v>
      </c>
      <c r="P20" s="34">
        <v>5569</v>
      </c>
      <c r="Q20" s="34">
        <v>6200</v>
      </c>
      <c r="R20" s="34">
        <v>6281</v>
      </c>
      <c r="S20" s="34">
        <v>5996</v>
      </c>
      <c r="T20" s="34">
        <v>7986</v>
      </c>
      <c r="U20" s="34">
        <v>7741</v>
      </c>
      <c r="V20" s="34">
        <v>5571</v>
      </c>
      <c r="W20" s="66">
        <v>5493</v>
      </c>
    </row>
    <row r="21" spans="1:23" ht="13.8" thickBot="1" x14ac:dyDescent="0.3">
      <c r="A21" s="39" t="s">
        <v>92</v>
      </c>
      <c r="B21" s="78">
        <f t="shared" si="0"/>
        <v>-0.12983284301113762</v>
      </c>
      <c r="C21" s="71">
        <f>E21-[1]Germany!E21</f>
        <v>-29802</v>
      </c>
      <c r="D21" s="43">
        <f>F21-[1]Germany!F21</f>
        <v>-45579</v>
      </c>
      <c r="E21" s="42">
        <f t="shared" ref="E21:K21" si="1">SUM(E2:E20)</f>
        <v>233371</v>
      </c>
      <c r="F21" s="43">
        <f t="shared" si="1"/>
        <v>268191</v>
      </c>
      <c r="G21" s="43">
        <f t="shared" si="1"/>
        <v>343950</v>
      </c>
      <c r="H21" s="43">
        <f t="shared" si="1"/>
        <v>313974</v>
      </c>
      <c r="I21" s="43">
        <f t="shared" si="1"/>
        <v>294633</v>
      </c>
      <c r="J21" s="43">
        <f t="shared" si="1"/>
        <v>295280</v>
      </c>
      <c r="K21" s="43">
        <f t="shared" si="1"/>
        <v>370351</v>
      </c>
      <c r="L21" s="43">
        <f t="shared" ref="L21:Q21" si="2">SUM(L2:L20)</f>
        <v>193367</v>
      </c>
      <c r="M21" s="43">
        <f t="shared" si="2"/>
        <v>353706</v>
      </c>
      <c r="N21" s="43">
        <f t="shared" si="2"/>
        <v>340177</v>
      </c>
      <c r="O21" s="43">
        <f t="shared" si="2"/>
        <v>370603</v>
      </c>
      <c r="P21" s="43">
        <f t="shared" si="2"/>
        <v>274480</v>
      </c>
      <c r="Q21" s="43">
        <f t="shared" si="2"/>
        <v>330803</v>
      </c>
      <c r="R21" s="43">
        <f t="shared" ref="R21:W21" si="3">SUM(R2:R20)</f>
        <v>343341</v>
      </c>
      <c r="S21" s="43">
        <f t="shared" si="3"/>
        <v>271530</v>
      </c>
      <c r="T21" s="43">
        <f t="shared" si="3"/>
        <v>361546</v>
      </c>
      <c r="U21" s="43">
        <f t="shared" si="3"/>
        <v>313748</v>
      </c>
      <c r="V21" s="43">
        <f t="shared" si="3"/>
        <v>296178</v>
      </c>
      <c r="W21" s="31">
        <f t="shared" si="3"/>
        <v>285797</v>
      </c>
    </row>
    <row r="22" spans="1:23" x14ac:dyDescent="0.25">
      <c r="B22" t="str">
        <f t="shared" si="0"/>
        <v/>
      </c>
    </row>
    <row r="23" spans="1:23" ht="13.8" thickBot="1" x14ac:dyDescent="0.3">
      <c r="B23" s="3" t="str">
        <f t="shared" si="0"/>
        <v/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</row>
    <row r="24" spans="1:23" s="50" customFormat="1" ht="13.8" thickBot="1" x14ac:dyDescent="0.3">
      <c r="A24" s="51" t="s">
        <v>25</v>
      </c>
      <c r="B24" s="20" t="s">
        <v>182</v>
      </c>
      <c r="C24" s="46" t="s">
        <v>183</v>
      </c>
      <c r="D24" s="79" t="s">
        <v>180</v>
      </c>
      <c r="E24" s="127">
        <v>45658</v>
      </c>
      <c r="F24" s="82">
        <v>45292</v>
      </c>
      <c r="G24" s="82">
        <v>44927</v>
      </c>
      <c r="H24" s="82">
        <v>44562</v>
      </c>
      <c r="I24" s="82">
        <v>44197</v>
      </c>
      <c r="J24" s="82">
        <v>43831</v>
      </c>
      <c r="K24" s="82">
        <v>43466</v>
      </c>
      <c r="L24" s="21">
        <v>43101</v>
      </c>
      <c r="M24" s="21">
        <v>42736</v>
      </c>
      <c r="N24" s="52">
        <f>N1</f>
        <v>42370</v>
      </c>
      <c r="O24" s="52">
        <f>O1</f>
        <v>42005</v>
      </c>
      <c r="P24" s="52">
        <v>41640</v>
      </c>
      <c r="Q24" s="52">
        <v>41275</v>
      </c>
      <c r="R24" s="52">
        <v>40909</v>
      </c>
      <c r="S24" s="52">
        <v>40544</v>
      </c>
      <c r="T24" s="52">
        <v>40179</v>
      </c>
      <c r="U24" s="52">
        <v>39814</v>
      </c>
      <c r="V24" s="52">
        <v>39448</v>
      </c>
      <c r="W24" s="67">
        <v>39083</v>
      </c>
    </row>
    <row r="25" spans="1:23" s="50" customFormat="1" ht="13.8" thickBot="1" x14ac:dyDescent="0.3">
      <c r="A25" s="57" t="s">
        <v>6</v>
      </c>
      <c r="B25" s="95">
        <f t="shared" si="0"/>
        <v>-7.6636288318144175E-2</v>
      </c>
      <c r="C25" s="74">
        <f>E25-[1]Germany!E25</f>
        <v>-3526</v>
      </c>
      <c r="D25" s="60">
        <f>F25-[1]Germany!F25</f>
        <v>-1655</v>
      </c>
      <c r="E25" s="59">
        <v>4458</v>
      </c>
      <c r="F25" s="60">
        <v>4828</v>
      </c>
      <c r="G25" s="60">
        <v>3225</v>
      </c>
      <c r="H25" s="60">
        <v>4078</v>
      </c>
      <c r="I25" s="60">
        <v>3148</v>
      </c>
      <c r="J25" s="60">
        <v>3644</v>
      </c>
      <c r="K25" s="60">
        <v>3950</v>
      </c>
      <c r="L25" s="60">
        <v>2483</v>
      </c>
      <c r="M25" s="60">
        <v>1744</v>
      </c>
      <c r="N25" s="60">
        <v>3912</v>
      </c>
      <c r="O25" s="60">
        <v>2382</v>
      </c>
      <c r="P25" s="60">
        <v>3393</v>
      </c>
      <c r="Q25" s="60">
        <v>785</v>
      </c>
      <c r="R25" s="60">
        <v>3009</v>
      </c>
      <c r="S25" s="60">
        <v>1969</v>
      </c>
      <c r="T25" s="60">
        <v>2747</v>
      </c>
      <c r="U25" s="60">
        <v>914</v>
      </c>
      <c r="V25" s="60">
        <v>1174</v>
      </c>
      <c r="W25" s="69">
        <v>1021</v>
      </c>
    </row>
    <row r="26" spans="1:23" s="50" customFormat="1" ht="13.8" thickBot="1" x14ac:dyDescent="0.3">
      <c r="A26" s="61" t="s">
        <v>92</v>
      </c>
      <c r="B26" s="62">
        <f t="shared" si="0"/>
        <v>-7.6636288318144175E-2</v>
      </c>
      <c r="C26" s="87">
        <f>E26-[1]Germany!E26</f>
        <v>-3526</v>
      </c>
      <c r="D26" s="85">
        <f>F26-[1]Germany!F26</f>
        <v>-1655</v>
      </c>
      <c r="E26" s="128">
        <f>SUM(E25)</f>
        <v>4458</v>
      </c>
      <c r="F26" s="103">
        <v>4828</v>
      </c>
      <c r="G26" s="103">
        <v>3225</v>
      </c>
      <c r="H26" s="85">
        <v>4078</v>
      </c>
      <c r="I26" s="60">
        <v>3148</v>
      </c>
      <c r="J26" s="60">
        <v>3644</v>
      </c>
      <c r="K26" s="60">
        <v>3950</v>
      </c>
      <c r="L26" s="60">
        <v>2483</v>
      </c>
      <c r="M26" s="85">
        <f>SUM(M25)</f>
        <v>1744</v>
      </c>
      <c r="N26" s="85">
        <f>SUM(N25)</f>
        <v>3912</v>
      </c>
      <c r="O26" s="85">
        <f>SUM(O25)</f>
        <v>2382</v>
      </c>
      <c r="P26" s="85">
        <f t="shared" ref="P26:W26" si="4">SUM(P25)</f>
        <v>3393</v>
      </c>
      <c r="Q26" s="85">
        <f t="shared" si="4"/>
        <v>785</v>
      </c>
      <c r="R26" s="85">
        <f t="shared" si="4"/>
        <v>3009</v>
      </c>
      <c r="S26" s="85">
        <f t="shared" si="4"/>
        <v>1969</v>
      </c>
      <c r="T26" s="85">
        <f t="shared" si="4"/>
        <v>2747</v>
      </c>
      <c r="U26" s="85">
        <f t="shared" si="4"/>
        <v>914</v>
      </c>
      <c r="V26" s="64">
        <f t="shared" si="4"/>
        <v>1174</v>
      </c>
      <c r="W26" s="70">
        <f t="shared" si="4"/>
        <v>1021</v>
      </c>
    </row>
    <row r="27" spans="1:23" s="50" customFormat="1" x14ac:dyDescent="0.25">
      <c r="B27" s="50" t="str">
        <f t="shared" si="0"/>
        <v/>
      </c>
    </row>
    <row r="28" spans="1:23" s="50" customFormat="1" x14ac:dyDescent="0.25">
      <c r="B28" s="50" t="str">
        <f t="shared" si="0"/>
        <v/>
      </c>
    </row>
    <row r="29" spans="1:23" s="50" customFormat="1" x14ac:dyDescent="0.25">
      <c r="B29" s="50" t="str">
        <f t="shared" si="0"/>
        <v/>
      </c>
    </row>
    <row r="30" spans="1:23" x14ac:dyDescent="0.25">
      <c r="B30" t="str">
        <f t="shared" si="0"/>
        <v/>
      </c>
    </row>
    <row r="31" spans="1:23" x14ac:dyDescent="0.25">
      <c r="B31" t="str">
        <f t="shared" si="0"/>
        <v/>
      </c>
    </row>
    <row r="32" spans="1:23" x14ac:dyDescent="0.25">
      <c r="B32" t="str">
        <f t="shared" si="0"/>
        <v/>
      </c>
    </row>
    <row r="33" spans="2:2" x14ac:dyDescent="0.25">
      <c r="B33" t="str">
        <f t="shared" si="0"/>
        <v/>
      </c>
    </row>
    <row r="34" spans="2:2" x14ac:dyDescent="0.25">
      <c r="B34" t="str">
        <f t="shared" si="0"/>
        <v/>
      </c>
    </row>
    <row r="35" spans="2:2" x14ac:dyDescent="0.25">
      <c r="B35" t="str">
        <f t="shared" si="0"/>
        <v/>
      </c>
    </row>
    <row r="36" spans="2:2" x14ac:dyDescent="0.25">
      <c r="B36" t="str">
        <f t="shared" si="0"/>
        <v/>
      </c>
    </row>
    <row r="37" spans="2:2" x14ac:dyDescent="0.25">
      <c r="B37" t="str">
        <f t="shared" si="0"/>
        <v/>
      </c>
    </row>
    <row r="38" spans="2:2" x14ac:dyDescent="0.25">
      <c r="B38" t="str">
        <f t="shared" si="0"/>
        <v/>
      </c>
    </row>
    <row r="39" spans="2:2" x14ac:dyDescent="0.25">
      <c r="B39" t="str">
        <f t="shared" si="0"/>
        <v/>
      </c>
    </row>
    <row r="40" spans="2:2" x14ac:dyDescent="0.25">
      <c r="B40" t="str">
        <f t="shared" si="0"/>
        <v/>
      </c>
    </row>
    <row r="41" spans="2:2" x14ac:dyDescent="0.25">
      <c r="B41" t="str">
        <f t="shared" si="0"/>
        <v/>
      </c>
    </row>
    <row r="42" spans="2:2" x14ac:dyDescent="0.25">
      <c r="B42" t="str">
        <f t="shared" si="0"/>
        <v/>
      </c>
    </row>
    <row r="43" spans="2:2" x14ac:dyDescent="0.25">
      <c r="B43" t="str">
        <f t="shared" si="0"/>
        <v/>
      </c>
    </row>
    <row r="44" spans="2:2" x14ac:dyDescent="0.25">
      <c r="B44" t="str">
        <f t="shared" si="0"/>
        <v/>
      </c>
    </row>
    <row r="45" spans="2:2" x14ac:dyDescent="0.25">
      <c r="B45" t="str">
        <f t="shared" si="0"/>
        <v/>
      </c>
    </row>
    <row r="46" spans="2:2" x14ac:dyDescent="0.25">
      <c r="B46" t="str">
        <f t="shared" si="0"/>
        <v/>
      </c>
    </row>
    <row r="47" spans="2:2" x14ac:dyDescent="0.25">
      <c r="B47" t="str">
        <f t="shared" si="0"/>
        <v/>
      </c>
    </row>
    <row r="48" spans="2:2" x14ac:dyDescent="0.25">
      <c r="B48" t="str">
        <f t="shared" si="0"/>
        <v/>
      </c>
    </row>
    <row r="49" spans="2:2" x14ac:dyDescent="0.25">
      <c r="B49" t="str">
        <f t="shared" si="0"/>
        <v/>
      </c>
    </row>
    <row r="50" spans="2:2" x14ac:dyDescent="0.25">
      <c r="B50" t="str">
        <f t="shared" si="0"/>
        <v/>
      </c>
    </row>
  </sheetData>
  <pageMargins left="0.75" right="0.75" top="1" bottom="1" header="0.5" footer="0.5"/>
  <pageSetup paperSize="9" fitToHeight="3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X50"/>
  <sheetViews>
    <sheetView zoomScaleNormal="100" workbookViewId="0"/>
  </sheetViews>
  <sheetFormatPr defaultColWidth="9.109375" defaultRowHeight="13.2" x14ac:dyDescent="0.25"/>
  <cols>
    <col min="1" max="1" width="29.33203125" customWidth="1"/>
    <col min="2" max="2" width="10.6640625" customWidth="1"/>
    <col min="3" max="12" width="11.44140625" customWidth="1"/>
    <col min="13" max="23" width="10.109375" bestFit="1" customWidth="1"/>
  </cols>
  <sheetData>
    <row r="1" spans="1:23" ht="13.8" thickBot="1" x14ac:dyDescent="0.3">
      <c r="A1" s="19" t="s">
        <v>24</v>
      </c>
      <c r="B1" s="20" t="s">
        <v>182</v>
      </c>
      <c r="C1" s="46" t="s">
        <v>183</v>
      </c>
      <c r="D1" s="79" t="s">
        <v>180</v>
      </c>
      <c r="E1" s="127">
        <v>45658</v>
      </c>
      <c r="F1" s="82">
        <v>45292</v>
      </c>
      <c r="G1" s="82">
        <v>44927</v>
      </c>
      <c r="H1" s="82">
        <v>44562</v>
      </c>
      <c r="I1" s="82">
        <v>44197</v>
      </c>
      <c r="J1" s="82">
        <v>43831</v>
      </c>
      <c r="K1" s="82">
        <v>43466</v>
      </c>
      <c r="L1" s="21">
        <v>43101</v>
      </c>
      <c r="M1" s="21">
        <v>42736</v>
      </c>
      <c r="N1" s="21">
        <v>42370</v>
      </c>
      <c r="O1" s="21">
        <v>42005</v>
      </c>
      <c r="P1" s="21">
        <v>41640</v>
      </c>
      <c r="Q1" s="21">
        <v>41275</v>
      </c>
      <c r="R1" s="21">
        <v>40544</v>
      </c>
      <c r="S1" s="21">
        <v>40544</v>
      </c>
      <c r="T1" s="21">
        <v>40179</v>
      </c>
      <c r="U1" s="21">
        <v>39814</v>
      </c>
      <c r="V1" s="21">
        <v>39448</v>
      </c>
      <c r="W1" s="22">
        <v>39083</v>
      </c>
    </row>
    <row r="2" spans="1:23" x14ac:dyDescent="0.25">
      <c r="A2" s="16" t="s">
        <v>20</v>
      </c>
      <c r="B2" s="23">
        <f>IFERROR((E2/F2-1), "")</f>
        <v>0.66666666666666674</v>
      </c>
      <c r="C2" s="47">
        <f>E2-[1]Italy!E2</f>
        <v>-15000</v>
      </c>
      <c r="D2" s="1">
        <f>F2-[1]Italy!F2</f>
        <v>-11000</v>
      </c>
      <c r="E2" s="109">
        <v>15000</v>
      </c>
      <c r="F2" s="1">
        <v>9000</v>
      </c>
      <c r="G2" s="1">
        <v>10000</v>
      </c>
      <c r="H2" s="1">
        <v>10000</v>
      </c>
      <c r="I2" s="1">
        <v>10000</v>
      </c>
      <c r="J2" s="1">
        <v>10000</v>
      </c>
      <c r="K2" s="1">
        <v>12500</v>
      </c>
      <c r="L2" s="1">
        <v>10000</v>
      </c>
      <c r="M2" s="1">
        <v>10000</v>
      </c>
      <c r="N2" s="1">
        <v>10000</v>
      </c>
      <c r="O2" s="1">
        <v>12268</v>
      </c>
      <c r="P2" s="1">
        <v>0</v>
      </c>
      <c r="Q2" s="1">
        <v>10026.647632643349</v>
      </c>
      <c r="R2" s="1">
        <v>10023.029633543058</v>
      </c>
      <c r="S2" s="1">
        <v>10037.820628073821</v>
      </c>
      <c r="T2" s="1">
        <v>10000</v>
      </c>
      <c r="U2" s="1">
        <v>15000</v>
      </c>
      <c r="V2" s="1">
        <v>15000</v>
      </c>
      <c r="W2" s="25">
        <v>20000</v>
      </c>
    </row>
    <row r="3" spans="1:23" x14ac:dyDescent="0.25">
      <c r="A3" s="16" t="s">
        <v>11</v>
      </c>
      <c r="B3" s="23">
        <f t="shared" ref="B3:B50" si="0">IFERROR((E3/F3-1), "")</f>
        <v>-0.11456050323208844</v>
      </c>
      <c r="C3" s="47">
        <f>E3-[1]Italy!E3</f>
        <v>-1832.8609999999971</v>
      </c>
      <c r="D3" s="1">
        <f>F3-[1]Italy!F3</f>
        <v>-1727.0770000000048</v>
      </c>
      <c r="E3" s="109">
        <v>23331.321000000004</v>
      </c>
      <c r="F3" s="1">
        <v>26349.988999999998</v>
      </c>
      <c r="G3" s="1">
        <v>25572.271000000001</v>
      </c>
      <c r="H3" s="1">
        <v>32000.063000000002</v>
      </c>
      <c r="I3" s="1">
        <v>32196.400000000001</v>
      </c>
      <c r="J3" s="1">
        <v>39583</v>
      </c>
      <c r="K3" s="1">
        <v>49985.369999999995</v>
      </c>
      <c r="L3" s="1">
        <v>39747.810000000005</v>
      </c>
      <c r="M3" s="1">
        <v>61388.3</v>
      </c>
      <c r="N3" s="1">
        <v>55844.7</v>
      </c>
      <c r="O3" s="1">
        <v>61453</v>
      </c>
      <c r="P3" s="1">
        <v>61856</v>
      </c>
      <c r="Q3" s="1">
        <v>51566.046109921488</v>
      </c>
      <c r="R3" s="1">
        <v>67571.25657749387</v>
      </c>
      <c r="S3" s="1">
        <v>62949.180722776546</v>
      </c>
      <c r="T3" s="1">
        <v>62943</v>
      </c>
      <c r="U3" s="1">
        <v>58641</v>
      </c>
      <c r="V3" s="1">
        <v>63953</v>
      </c>
      <c r="W3" s="25">
        <v>50583</v>
      </c>
    </row>
    <row r="4" spans="1:23" x14ac:dyDescent="0.25">
      <c r="A4" s="16" t="s">
        <v>61</v>
      </c>
      <c r="B4" s="23">
        <f t="shared" si="0"/>
        <v>5.217180817059619E-2</v>
      </c>
      <c r="C4" s="47">
        <f>E4-[1]Italy!E4</f>
        <v>-10627.869000000006</v>
      </c>
      <c r="D4" s="1">
        <f>F4-[1]Italy!F4</f>
        <v>-10737.570999999996</v>
      </c>
      <c r="E4" s="109">
        <v>110602.617</v>
      </c>
      <c r="F4" s="1">
        <v>105118.39999999999</v>
      </c>
      <c r="G4" s="1">
        <v>96264.263550000003</v>
      </c>
      <c r="H4" s="1">
        <v>72587.88</v>
      </c>
      <c r="I4" s="1">
        <v>80412.100000000006</v>
      </c>
      <c r="J4" s="1">
        <v>68902</v>
      </c>
      <c r="K4" s="1">
        <v>82386.34</v>
      </c>
      <c r="L4" s="1">
        <v>74595.89</v>
      </c>
      <c r="M4" s="1">
        <v>83572.2</v>
      </c>
      <c r="N4" s="1">
        <v>56832.800000000003</v>
      </c>
      <c r="O4" s="1">
        <v>78950</v>
      </c>
      <c r="P4" s="1">
        <v>47728</v>
      </c>
      <c r="Q4" s="1">
        <v>49490.530049964313</v>
      </c>
      <c r="R4" s="1">
        <v>67824.839227222517</v>
      </c>
      <c r="S4" s="1">
        <v>44274.819226308013</v>
      </c>
      <c r="T4" s="1"/>
      <c r="U4" s="1"/>
      <c r="V4" s="1"/>
      <c r="W4" s="25"/>
    </row>
    <row r="5" spans="1:23" x14ac:dyDescent="0.25">
      <c r="A5" s="16" t="s">
        <v>2</v>
      </c>
      <c r="B5" s="23" t="str">
        <f t="shared" si="0"/>
        <v/>
      </c>
      <c r="C5" s="47">
        <f>E5-[1]Italy!E5</f>
        <v>0</v>
      </c>
      <c r="D5" s="1">
        <f>F5-[1]Italy!F5</f>
        <v>0</v>
      </c>
      <c r="E5" s="109"/>
      <c r="F5" s="1"/>
      <c r="G5" s="1"/>
      <c r="H5" s="1"/>
      <c r="I5" s="1"/>
      <c r="J5" s="1"/>
      <c r="K5" s="1">
        <v>0</v>
      </c>
      <c r="L5" s="1">
        <v>0</v>
      </c>
      <c r="M5" s="1">
        <v>0</v>
      </c>
      <c r="N5" s="1">
        <v>2</v>
      </c>
      <c r="O5" s="1">
        <v>24</v>
      </c>
      <c r="P5" s="1">
        <v>10</v>
      </c>
      <c r="Q5" s="1">
        <v>4.0106590530573403</v>
      </c>
      <c r="R5" s="1">
        <v>64.147389654675564</v>
      </c>
      <c r="S5" s="1">
        <v>0</v>
      </c>
      <c r="T5" s="1">
        <v>144</v>
      </c>
      <c r="U5" s="1">
        <v>68</v>
      </c>
      <c r="V5" s="1">
        <v>101</v>
      </c>
      <c r="W5" s="25">
        <v>177</v>
      </c>
    </row>
    <row r="6" spans="1:23" x14ac:dyDescent="0.25">
      <c r="A6" s="16" t="s">
        <v>12</v>
      </c>
      <c r="B6" s="23">
        <f t="shared" si="0"/>
        <v>1.590355961998835E-2</v>
      </c>
      <c r="C6" s="47">
        <f>E6-[1]Italy!E6</f>
        <v>-17912.289958327485</v>
      </c>
      <c r="D6" s="1">
        <f>F6-[1]Italy!F6</f>
        <v>-15010.602489716344</v>
      </c>
      <c r="E6" s="109">
        <v>88822.415803541357</v>
      </c>
      <c r="F6" s="1">
        <v>87431.936784202728</v>
      </c>
      <c r="G6" s="1">
        <v>98479.797755323467</v>
      </c>
      <c r="H6" s="1">
        <v>95481.522499999992</v>
      </c>
      <c r="I6" s="1">
        <v>101840.6</v>
      </c>
      <c r="J6" s="1">
        <v>94094</v>
      </c>
      <c r="K6" s="1">
        <v>111519.52</v>
      </c>
      <c r="L6" s="1">
        <v>89283.253188100425</v>
      </c>
      <c r="M6" s="1">
        <v>111212.34999999999</v>
      </c>
      <c r="N6" s="1">
        <v>128129.09</v>
      </c>
      <c r="O6" s="1">
        <v>125507</v>
      </c>
      <c r="P6" s="1">
        <v>117270</v>
      </c>
      <c r="Q6" s="1">
        <v>76889.347370925534</v>
      </c>
      <c r="R6" s="1">
        <v>105009.2768647039</v>
      </c>
      <c r="S6" s="1">
        <v>110675.00268101634</v>
      </c>
      <c r="T6" s="1">
        <v>95997</v>
      </c>
      <c r="U6" s="1">
        <v>85150</v>
      </c>
      <c r="V6" s="1">
        <v>77287</v>
      </c>
      <c r="W6" s="25">
        <v>64567</v>
      </c>
    </row>
    <row r="7" spans="1:23" x14ac:dyDescent="0.25">
      <c r="A7" s="16" t="s">
        <v>9</v>
      </c>
      <c r="B7" s="23">
        <f t="shared" si="0"/>
        <v>-1.3346665530210022E-2</v>
      </c>
      <c r="C7" s="47">
        <f>E7-[1]Italy!E7</f>
        <v>-44044.58692448611</v>
      </c>
      <c r="D7" s="1">
        <f>F7-[1]Italy!F7</f>
        <v>-30663.385004602795</v>
      </c>
      <c r="E7" s="109">
        <v>95108.218449892462</v>
      </c>
      <c r="F7" s="1">
        <v>96394.76716612115</v>
      </c>
      <c r="G7" s="1">
        <v>93175.705611211757</v>
      </c>
      <c r="H7" s="1">
        <v>120181.32799999999</v>
      </c>
      <c r="I7" s="1">
        <v>106350.36</v>
      </c>
      <c r="J7" s="1">
        <v>112821</v>
      </c>
      <c r="K7" s="1">
        <v>109755.97000000002</v>
      </c>
      <c r="L7" s="1">
        <v>61790.749682234979</v>
      </c>
      <c r="M7" s="1">
        <v>82682.459999999992</v>
      </c>
      <c r="N7" s="1">
        <v>72539.419999999984</v>
      </c>
      <c r="O7" s="1">
        <v>77858</v>
      </c>
      <c r="P7" s="1">
        <v>70792</v>
      </c>
      <c r="Q7" s="1">
        <v>58299.942660004759</v>
      </c>
      <c r="R7" s="1">
        <v>84611.409257480424</v>
      </c>
      <c r="S7" s="1">
        <v>83143.268262335463</v>
      </c>
      <c r="T7" s="1">
        <v>87197</v>
      </c>
      <c r="U7" s="1">
        <v>85084</v>
      </c>
      <c r="V7" s="1">
        <v>70982</v>
      </c>
      <c r="W7" s="25">
        <v>55412</v>
      </c>
    </row>
    <row r="8" spans="1:23" x14ac:dyDescent="0.25">
      <c r="A8" s="16" t="s">
        <v>14</v>
      </c>
      <c r="B8" s="23" t="str">
        <f t="shared" si="0"/>
        <v/>
      </c>
      <c r="C8" s="47">
        <f>E8-[1]Italy!E8</f>
        <v>0</v>
      </c>
      <c r="D8" s="1">
        <f>F8-[1]Italy!F8</f>
        <v>0</v>
      </c>
      <c r="E8" s="109"/>
      <c r="F8" s="1"/>
      <c r="G8" s="1"/>
      <c r="H8" s="1"/>
      <c r="I8" s="1"/>
      <c r="J8" s="1"/>
      <c r="K8" s="1">
        <v>7.3</v>
      </c>
      <c r="L8" s="1">
        <v>16</v>
      </c>
      <c r="M8" s="1">
        <v>23</v>
      </c>
      <c r="N8" s="1">
        <v>17</v>
      </c>
      <c r="O8" s="1">
        <v>18</v>
      </c>
      <c r="P8" s="1">
        <v>30</v>
      </c>
      <c r="Q8" s="1">
        <v>29.077278134665715</v>
      </c>
      <c r="R8" s="1">
        <v>35.080603717400699</v>
      </c>
      <c r="S8" s="1">
        <v>0</v>
      </c>
      <c r="T8" s="1">
        <v>230</v>
      </c>
      <c r="U8" s="1">
        <v>361</v>
      </c>
      <c r="V8" s="1">
        <v>326</v>
      </c>
      <c r="W8" s="25">
        <v>438</v>
      </c>
    </row>
    <row r="9" spans="1:23" x14ac:dyDescent="0.25">
      <c r="A9" s="16" t="s">
        <v>3</v>
      </c>
      <c r="B9" s="23">
        <f t="shared" si="0"/>
        <v>-8.4914702840900524E-2</v>
      </c>
      <c r="C9" s="47">
        <f>E9-[1]Italy!E9</f>
        <v>-51519.482853251859</v>
      </c>
      <c r="D9" s="1">
        <f>F9-[1]Italy!F9</f>
        <v>-42429.505338043382</v>
      </c>
      <c r="E9" s="109">
        <v>434125.12696774298</v>
      </c>
      <c r="F9" s="1">
        <v>474409.46577930287</v>
      </c>
      <c r="G9" s="1">
        <v>380510.97203748854</v>
      </c>
      <c r="H9" s="1">
        <v>501306.21119999996</v>
      </c>
      <c r="I9" s="1">
        <v>469197</v>
      </c>
      <c r="J9" s="1">
        <v>527203</v>
      </c>
      <c r="K9" s="1">
        <v>570921</v>
      </c>
      <c r="L9" s="1">
        <v>325812</v>
      </c>
      <c r="M9" s="80">
        <v>644473</v>
      </c>
      <c r="N9" s="80">
        <v>641228.11</v>
      </c>
      <c r="O9" s="80">
        <v>679519</v>
      </c>
      <c r="P9" s="80">
        <v>592425</v>
      </c>
      <c r="Q9" s="80">
        <v>581082.33157268621</v>
      </c>
      <c r="R9" s="80">
        <v>640643.98969309835</v>
      </c>
      <c r="S9" s="80">
        <v>636094.68563691247</v>
      </c>
      <c r="T9" s="80">
        <v>649329</v>
      </c>
      <c r="U9" s="80">
        <v>654120</v>
      </c>
      <c r="V9" s="1">
        <v>598851</v>
      </c>
      <c r="W9" s="25">
        <v>594079</v>
      </c>
    </row>
    <row r="10" spans="1:23" x14ac:dyDescent="0.25">
      <c r="A10" s="16" t="s">
        <v>17</v>
      </c>
      <c r="B10" s="23">
        <f t="shared" si="0"/>
        <v>0.57800771147828844</v>
      </c>
      <c r="C10" s="47">
        <f>E10-[1]Italy!E10</f>
        <v>-12908.442417121769</v>
      </c>
      <c r="D10" s="1">
        <f>F10-[1]Italy!F10</f>
        <v>-10997.879529772894</v>
      </c>
      <c r="E10" s="109">
        <v>111770.88898474679</v>
      </c>
      <c r="F10" s="1">
        <v>70830.38198846257</v>
      </c>
      <c r="G10" s="1">
        <v>102360.10942000001</v>
      </c>
      <c r="H10" s="1">
        <v>71913.073600000003</v>
      </c>
      <c r="I10" s="1">
        <v>100416.37</v>
      </c>
      <c r="J10" s="1">
        <v>65207</v>
      </c>
      <c r="K10" s="1">
        <v>91454.12000000001</v>
      </c>
      <c r="L10" s="1">
        <v>88318.506277555745</v>
      </c>
      <c r="M10" s="80">
        <v>82697.455000000002</v>
      </c>
      <c r="N10" s="80">
        <v>93605.6</v>
      </c>
      <c r="O10" s="80">
        <v>102875</v>
      </c>
      <c r="P10" s="80">
        <v>83129</v>
      </c>
      <c r="Q10" s="80">
        <v>53180.336378777065</v>
      </c>
      <c r="R10" s="80">
        <v>67455.991736708136</v>
      </c>
      <c r="S10" s="80">
        <v>68310.38072023078</v>
      </c>
      <c r="T10" s="80">
        <v>65828</v>
      </c>
      <c r="U10" s="80">
        <v>62856</v>
      </c>
      <c r="V10" s="1">
        <v>58104</v>
      </c>
      <c r="W10" s="25">
        <v>61658</v>
      </c>
    </row>
    <row r="11" spans="1:23" x14ac:dyDescent="0.25">
      <c r="A11" s="16" t="s">
        <v>10</v>
      </c>
      <c r="B11" s="23" t="str">
        <f t="shared" si="0"/>
        <v/>
      </c>
      <c r="C11" s="47">
        <f>E11-[1]Italy!E11</f>
        <v>0</v>
      </c>
      <c r="D11" s="1">
        <f>F11-[1]Italy!F11</f>
        <v>0</v>
      </c>
      <c r="E11" s="109"/>
      <c r="F11" s="1"/>
      <c r="G11" s="1"/>
      <c r="H11" s="1"/>
      <c r="I11" s="1"/>
      <c r="J11" s="1"/>
      <c r="K11" s="1">
        <v>627</v>
      </c>
      <c r="L11" s="1">
        <v>808</v>
      </c>
      <c r="M11" s="80">
        <v>651</v>
      </c>
      <c r="N11" s="80">
        <v>1419.3</v>
      </c>
      <c r="O11" s="80">
        <v>656</v>
      </c>
      <c r="P11" s="80">
        <v>2156</v>
      </c>
      <c r="Q11" s="80">
        <v>2041.4254580061861</v>
      </c>
      <c r="R11" s="80">
        <v>2079.7786489601845</v>
      </c>
      <c r="S11" s="80">
        <v>0</v>
      </c>
      <c r="T11" s="80">
        <v>2981</v>
      </c>
      <c r="U11" s="80">
        <v>3347</v>
      </c>
      <c r="V11" s="1">
        <v>3511</v>
      </c>
      <c r="W11" s="25">
        <v>3973</v>
      </c>
    </row>
    <row r="12" spans="1:23" x14ac:dyDescent="0.25">
      <c r="A12" s="16" t="s">
        <v>27</v>
      </c>
      <c r="B12" s="23">
        <f t="shared" si="0"/>
        <v>-0.17290184921763863</v>
      </c>
      <c r="C12" s="47">
        <f>E12-[1]Italy!E12</f>
        <v>-7</v>
      </c>
      <c r="D12" s="1">
        <f>F12-[1]Italy!F12</f>
        <v>-15</v>
      </c>
      <c r="E12" s="109">
        <v>1162.9000000000001</v>
      </c>
      <c r="F12" s="1">
        <v>1406</v>
      </c>
      <c r="G12" s="1">
        <v>1931.3500000000001</v>
      </c>
      <c r="H12" s="1">
        <v>3516.2000000000003</v>
      </c>
      <c r="I12" s="1">
        <v>2104.9</v>
      </c>
      <c r="J12" s="1">
        <v>4336</v>
      </c>
      <c r="K12" s="1">
        <v>4686.55</v>
      </c>
      <c r="L12" s="1">
        <v>3288</v>
      </c>
      <c r="M12" s="80">
        <v>4439.5</v>
      </c>
      <c r="N12" s="80">
        <v>8063.5</v>
      </c>
      <c r="O12" s="80">
        <v>8005</v>
      </c>
      <c r="P12" s="80">
        <v>10538</v>
      </c>
      <c r="Q12" s="80">
        <v>7713.5000237925287</v>
      </c>
      <c r="R12" s="80">
        <v>11981.529623937371</v>
      </c>
      <c r="S12" s="80">
        <v>0</v>
      </c>
      <c r="T12" s="80">
        <v>16983</v>
      </c>
      <c r="U12" s="80">
        <v>18184</v>
      </c>
      <c r="V12" s="1">
        <v>22273</v>
      </c>
      <c r="W12" s="25">
        <v>20345</v>
      </c>
    </row>
    <row r="13" spans="1:23" x14ac:dyDescent="0.25">
      <c r="A13" s="16" t="s">
        <v>50</v>
      </c>
      <c r="B13" s="23" t="str">
        <f t="shared" si="0"/>
        <v/>
      </c>
      <c r="C13" s="47">
        <f>E13-[1]Italy!E13</f>
        <v>0</v>
      </c>
      <c r="D13" s="1">
        <f>F13-[1]Italy!F13</f>
        <v>0</v>
      </c>
      <c r="E13" s="109"/>
      <c r="F13" s="1"/>
      <c r="G13" s="1"/>
      <c r="H13" s="1"/>
      <c r="I13" s="1"/>
      <c r="J13" s="1"/>
      <c r="K13" s="1">
        <v>0</v>
      </c>
      <c r="L13" s="1">
        <v>0</v>
      </c>
      <c r="M13" s="80">
        <v>0</v>
      </c>
      <c r="N13" s="80">
        <v>7</v>
      </c>
      <c r="O13" s="80">
        <v>7</v>
      </c>
      <c r="P13" s="80">
        <v>0</v>
      </c>
      <c r="Q13" s="80">
        <v>1.0026647632643351</v>
      </c>
      <c r="R13" s="80">
        <v>3.0069088900629173</v>
      </c>
      <c r="S13" s="80">
        <v>0</v>
      </c>
      <c r="T13" s="80">
        <v>1</v>
      </c>
      <c r="U13" s="80">
        <v>7</v>
      </c>
      <c r="V13" s="1">
        <v>30</v>
      </c>
      <c r="W13" s="25">
        <v>60</v>
      </c>
    </row>
    <row r="14" spans="1:23" x14ac:dyDescent="0.25">
      <c r="A14" s="16" t="s">
        <v>105</v>
      </c>
      <c r="B14" s="23">
        <f t="shared" si="0"/>
        <v>0.1779079255524989</v>
      </c>
      <c r="C14" s="47">
        <f>E14-[1]Italy!E14</f>
        <v>-3531.0485807728037</v>
      </c>
      <c r="D14" s="1">
        <f>F14-[1]Italy!F14</f>
        <v>-4405.2798382638648</v>
      </c>
      <c r="E14" s="109">
        <v>11898.721934656242</v>
      </c>
      <c r="F14" s="1">
        <v>10101.57218279615</v>
      </c>
      <c r="G14" s="1">
        <v>12523.535785628979</v>
      </c>
      <c r="H14" s="1">
        <v>14818.589000000002</v>
      </c>
      <c r="I14" s="1">
        <v>19212.28</v>
      </c>
      <c r="J14" s="1">
        <v>18978</v>
      </c>
      <c r="K14" s="1">
        <v>21558.240000000002</v>
      </c>
      <c r="L14" s="1">
        <v>14597.149137190176</v>
      </c>
      <c r="M14" s="80">
        <v>19810.489999999998</v>
      </c>
      <c r="N14" s="80">
        <v>21742.32</v>
      </c>
      <c r="O14" s="80">
        <v>29166</v>
      </c>
      <c r="P14" s="80">
        <v>22747</v>
      </c>
      <c r="Q14" s="80">
        <v>20793.261860575778</v>
      </c>
      <c r="R14" s="80">
        <v>15360.292913404735</v>
      </c>
      <c r="S14" s="80">
        <v>38884.509549032366</v>
      </c>
      <c r="T14" s="80">
        <v>29032</v>
      </c>
      <c r="U14" s="80">
        <v>48116</v>
      </c>
      <c r="V14" s="1">
        <v>36981</v>
      </c>
      <c r="W14" s="25">
        <v>48821</v>
      </c>
    </row>
    <row r="15" spans="1:23" x14ac:dyDescent="0.25">
      <c r="A15" s="122" t="s">
        <v>13</v>
      </c>
      <c r="B15" s="23">
        <f t="shared" si="0"/>
        <v>3.9121024370095014E-2</v>
      </c>
      <c r="C15" s="47">
        <f>E15-[1]Italy!E15</f>
        <v>-1455.6489999999976</v>
      </c>
      <c r="D15" s="1">
        <f>F15-[1]Italy!F15</f>
        <v>-1067.3000000000029</v>
      </c>
      <c r="E15" s="109">
        <v>37735.68</v>
      </c>
      <c r="F15" s="1">
        <v>36315</v>
      </c>
      <c r="G15" s="1">
        <v>36375.669000000002</v>
      </c>
      <c r="H15" s="1">
        <v>36252.699999999997</v>
      </c>
      <c r="I15" s="1">
        <v>37359.799999999996</v>
      </c>
      <c r="J15" s="1">
        <v>31797</v>
      </c>
      <c r="K15" s="1">
        <v>27684</v>
      </c>
      <c r="L15" s="1"/>
      <c r="M15" s="80"/>
      <c r="N15" s="80"/>
      <c r="O15" s="80"/>
      <c r="P15" s="80"/>
      <c r="Q15" s="80"/>
      <c r="R15" s="80"/>
      <c r="S15" s="80"/>
      <c r="T15" s="80"/>
      <c r="U15" s="80"/>
      <c r="V15" s="1"/>
      <c r="W15" s="25"/>
    </row>
    <row r="16" spans="1:23" x14ac:dyDescent="0.25">
      <c r="A16" s="16" t="s">
        <v>19</v>
      </c>
      <c r="B16" s="23">
        <f t="shared" si="0"/>
        <v>0.30021388281251915</v>
      </c>
      <c r="C16" s="47">
        <f>E16-[1]Italy!E16</f>
        <v>-26322.897140763409</v>
      </c>
      <c r="D16" s="1">
        <f>F16-[1]Italy!F16</f>
        <v>-20247.11852147177</v>
      </c>
      <c r="E16" s="109">
        <v>106587.71860626462</v>
      </c>
      <c r="F16" s="1">
        <v>81977.065477644763</v>
      </c>
      <c r="G16" s="1">
        <v>131010.0186092979</v>
      </c>
      <c r="H16" s="1">
        <v>113547.72040000001</v>
      </c>
      <c r="I16" s="1">
        <v>146345.31</v>
      </c>
      <c r="J16" s="1">
        <v>124625</v>
      </c>
      <c r="K16" s="1">
        <v>164858</v>
      </c>
      <c r="L16" s="1">
        <v>97935.948000000004</v>
      </c>
      <c r="M16" s="80">
        <v>148385.25</v>
      </c>
      <c r="N16" s="80">
        <v>149761.46000000002</v>
      </c>
      <c r="O16" s="80">
        <v>145777</v>
      </c>
      <c r="P16" s="80">
        <v>137858</v>
      </c>
      <c r="Q16" s="80">
        <v>103163.17482750416</v>
      </c>
      <c r="R16" s="80">
        <v>126023.56079439027</v>
      </c>
      <c r="S16" s="80">
        <v>144888.91429180597</v>
      </c>
      <c r="T16" s="80">
        <v>150141</v>
      </c>
      <c r="U16" s="80">
        <v>125746</v>
      </c>
      <c r="V16" s="1">
        <v>116868</v>
      </c>
      <c r="W16" s="25">
        <v>134324</v>
      </c>
    </row>
    <row r="17" spans="1:23" x14ac:dyDescent="0.25">
      <c r="A17" s="16" t="s">
        <v>106</v>
      </c>
      <c r="B17" s="23">
        <f t="shared" si="0"/>
        <v>0.73560827333689982</v>
      </c>
      <c r="C17" s="47">
        <f>E17-[1]Italy!E17</f>
        <v>-2191.0190000000002</v>
      </c>
      <c r="D17" s="1">
        <f>F17-[1]Italy!F17</f>
        <v>-1746.3510000000024</v>
      </c>
      <c r="E17" s="109">
        <v>19772.164000000001</v>
      </c>
      <c r="F17" s="1">
        <v>11392.065999999999</v>
      </c>
      <c r="G17" s="1">
        <v>21879</v>
      </c>
      <c r="H17" s="1">
        <v>13921</v>
      </c>
      <c r="I17" s="1">
        <v>22553.7</v>
      </c>
      <c r="J17" s="1">
        <v>13581</v>
      </c>
      <c r="K17" s="1">
        <v>22051</v>
      </c>
      <c r="L17" s="1">
        <v>3651.3</v>
      </c>
      <c r="M17" s="80">
        <v>18160.8</v>
      </c>
      <c r="N17" s="80">
        <v>17563.400000000001</v>
      </c>
      <c r="O17" s="80">
        <f>28947-10000</f>
        <v>18947</v>
      </c>
      <c r="P17" s="80">
        <v>26966</v>
      </c>
      <c r="Q17" s="80">
        <v>11211.797382821795</v>
      </c>
      <c r="R17" s="80">
        <v>13267.484325920945</v>
      </c>
      <c r="S17" s="80">
        <v>15166.143186956737</v>
      </c>
      <c r="T17" s="80">
        <v>12516</v>
      </c>
      <c r="U17" s="80">
        <v>10461</v>
      </c>
      <c r="V17" s="1">
        <v>13943</v>
      </c>
      <c r="W17" s="25">
        <v>6367</v>
      </c>
    </row>
    <row r="18" spans="1:23" x14ac:dyDescent="0.25">
      <c r="A18" s="16" t="s">
        <v>21</v>
      </c>
      <c r="B18" s="23" t="str">
        <f t="shared" si="0"/>
        <v/>
      </c>
      <c r="C18" s="47">
        <f>E18-[1]Italy!E18</f>
        <v>0</v>
      </c>
      <c r="D18" s="1">
        <f>F18-[1]Italy!F18</f>
        <v>0</v>
      </c>
      <c r="E18" s="109"/>
      <c r="F18" s="1"/>
      <c r="G18" s="1"/>
      <c r="H18" s="1"/>
      <c r="I18" s="1"/>
      <c r="J18" s="1"/>
      <c r="K18" s="1">
        <v>3611</v>
      </c>
      <c r="L18" s="1">
        <v>3471.1711908091065</v>
      </c>
      <c r="M18" s="80">
        <v>8110.2</v>
      </c>
      <c r="N18" s="80">
        <v>7926.9</v>
      </c>
      <c r="O18" s="80">
        <v>9723</v>
      </c>
      <c r="P18" s="80">
        <v>6733</v>
      </c>
      <c r="Q18" s="80">
        <v>2716.2188436830834</v>
      </c>
      <c r="R18" s="80">
        <v>7726.7535444983432</v>
      </c>
      <c r="S18" s="80">
        <v>0</v>
      </c>
      <c r="T18" s="80">
        <v>5429</v>
      </c>
      <c r="U18" s="80">
        <v>6828</v>
      </c>
      <c r="V18" s="1">
        <v>4861</v>
      </c>
      <c r="W18" s="25">
        <v>9038</v>
      </c>
    </row>
    <row r="19" spans="1:23" ht="13.8" thickBot="1" x14ac:dyDescent="0.3">
      <c r="A19" s="18" t="s">
        <v>59</v>
      </c>
      <c r="B19" s="24">
        <f t="shared" si="0"/>
        <v>0.11358534763285588</v>
      </c>
      <c r="C19" s="48">
        <f>E19-[1]Italy!E19</f>
        <v>-28463.419403484004</v>
      </c>
      <c r="D19" s="9">
        <f>F19-[1]Italy!F19</f>
        <v>-14328.493164408777</v>
      </c>
      <c r="E19" s="126">
        <f>36017+192294.188433951</f>
        <v>228311.188433951</v>
      </c>
      <c r="F19" s="9">
        <v>205023.52057637181</v>
      </c>
      <c r="G19" s="9">
        <v>150368.21206013439</v>
      </c>
      <c r="H19" s="9">
        <f>99152+13919</f>
        <v>113071</v>
      </c>
      <c r="I19" s="9">
        <v>78483.559999999983</v>
      </c>
      <c r="J19" s="9">
        <v>71433</v>
      </c>
      <c r="K19" s="9">
        <v>66127.020000000019</v>
      </c>
      <c r="L19" s="9">
        <v>46004.812506836155</v>
      </c>
      <c r="M19" s="81">
        <v>68290.399999999994</v>
      </c>
      <c r="N19" s="81">
        <v>49247.9</v>
      </c>
      <c r="O19" s="81">
        <v>52557</v>
      </c>
      <c r="P19" s="81">
        <v>41563</v>
      </c>
      <c r="Q19" s="81">
        <v>25341.349226742801</v>
      </c>
      <c r="R19" s="81">
        <v>32455.572256375774</v>
      </c>
      <c r="S19" s="81">
        <v>47315.275094551573</v>
      </c>
      <c r="T19" s="81">
        <v>85947</v>
      </c>
      <c r="U19" s="81">
        <v>55413</v>
      </c>
      <c r="V19" s="9">
        <v>54827</v>
      </c>
      <c r="W19" s="27">
        <v>59083</v>
      </c>
    </row>
    <row r="20" spans="1:23" ht="13.8" thickBot="1" x14ac:dyDescent="0.3">
      <c r="A20" s="28" t="s">
        <v>23</v>
      </c>
      <c r="B20" s="29">
        <f t="shared" si="0"/>
        <v>5.6326372144423154E-2</v>
      </c>
      <c r="C20" s="49">
        <f>E20-[1]Italy!E20</f>
        <v>-215816.56527820718</v>
      </c>
      <c r="D20" s="30">
        <f>F20-[1]Italy!F20</f>
        <v>-164375.56288627977</v>
      </c>
      <c r="E20" s="102">
        <f t="shared" ref="E20:K20" si="1">SUM(E2:E19)</f>
        <v>1284228.9611807957</v>
      </c>
      <c r="F20" s="30">
        <f t="shared" si="1"/>
        <v>1215750.1649549021</v>
      </c>
      <c r="G20" s="30">
        <f t="shared" si="1"/>
        <v>1160450.9048290849</v>
      </c>
      <c r="H20" s="30">
        <f t="shared" si="1"/>
        <v>1198597.2877</v>
      </c>
      <c r="I20" s="30">
        <f t="shared" si="1"/>
        <v>1206472.3800000001</v>
      </c>
      <c r="J20" s="30">
        <f t="shared" si="1"/>
        <v>1182560</v>
      </c>
      <c r="K20" s="30">
        <f t="shared" si="1"/>
        <v>1339732.4300000002</v>
      </c>
      <c r="L20" s="30">
        <f t="shared" ref="L20:Q20" si="2">SUM(L2:L19)</f>
        <v>859320.58998272661</v>
      </c>
      <c r="M20" s="30">
        <f t="shared" si="2"/>
        <v>1343896.4049999998</v>
      </c>
      <c r="N20" s="30">
        <f t="shared" si="2"/>
        <v>1313930.4999999998</v>
      </c>
      <c r="O20" s="30">
        <f t="shared" si="2"/>
        <v>1403310</v>
      </c>
      <c r="P20" s="30">
        <f t="shared" si="2"/>
        <v>1221801</v>
      </c>
      <c r="Q20" s="30">
        <f t="shared" si="2"/>
        <v>1053550</v>
      </c>
      <c r="R20" s="30">
        <f t="shared" ref="R20:W20" si="3">SUM(R2:R19)</f>
        <v>1252137</v>
      </c>
      <c r="S20" s="30">
        <f t="shared" si="3"/>
        <v>1261740</v>
      </c>
      <c r="T20" s="30">
        <f t="shared" si="3"/>
        <v>1274698</v>
      </c>
      <c r="U20" s="30">
        <f t="shared" si="3"/>
        <v>1229382</v>
      </c>
      <c r="V20" s="30">
        <f t="shared" si="3"/>
        <v>1137898</v>
      </c>
      <c r="W20" s="31">
        <f t="shared" si="3"/>
        <v>1128925</v>
      </c>
    </row>
    <row r="21" spans="1:23" x14ac:dyDescent="0.25">
      <c r="A21" s="123" t="s">
        <v>173</v>
      </c>
      <c r="B21" s="32" t="str">
        <f t="shared" si="0"/>
        <v/>
      </c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</row>
    <row r="22" spans="1:23" ht="13.8" thickBot="1" x14ac:dyDescent="0.3">
      <c r="B22" s="32" t="str">
        <f t="shared" si="0"/>
        <v/>
      </c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</row>
    <row r="23" spans="1:23" ht="13.8" thickBot="1" x14ac:dyDescent="0.3">
      <c r="A23" s="19" t="s">
        <v>25</v>
      </c>
      <c r="B23" s="20" t="s">
        <v>182</v>
      </c>
      <c r="C23" s="46" t="s">
        <v>183</v>
      </c>
      <c r="D23" s="79" t="s">
        <v>180</v>
      </c>
      <c r="E23" s="127">
        <v>45658</v>
      </c>
      <c r="F23" s="82">
        <v>45292</v>
      </c>
      <c r="G23" s="82">
        <v>44927</v>
      </c>
      <c r="H23" s="82">
        <v>44562</v>
      </c>
      <c r="I23" s="82">
        <v>44197</v>
      </c>
      <c r="J23" s="82">
        <v>43831</v>
      </c>
      <c r="K23" s="82">
        <v>43466</v>
      </c>
      <c r="L23" s="21">
        <v>43101</v>
      </c>
      <c r="M23" s="21">
        <v>42736</v>
      </c>
      <c r="N23" s="21">
        <f>N1</f>
        <v>42370</v>
      </c>
      <c r="O23" s="21">
        <f>O1</f>
        <v>42005</v>
      </c>
      <c r="P23" s="21">
        <v>41640</v>
      </c>
      <c r="Q23" s="21">
        <v>41275</v>
      </c>
      <c r="R23" s="21">
        <v>40544</v>
      </c>
      <c r="S23" s="21">
        <v>40544</v>
      </c>
      <c r="T23" s="21">
        <v>40179</v>
      </c>
      <c r="U23" s="21">
        <v>39814</v>
      </c>
      <c r="V23" s="21">
        <v>39448</v>
      </c>
      <c r="W23" s="22">
        <v>39083</v>
      </c>
    </row>
    <row r="24" spans="1:23" x14ac:dyDescent="0.25">
      <c r="A24" s="16" t="s">
        <v>103</v>
      </c>
      <c r="B24" s="23">
        <f t="shared" si="0"/>
        <v>4.2275565490421467</v>
      </c>
      <c r="C24" s="47">
        <f>E24-[1]Italy!E24</f>
        <v>-9459.1816259783009</v>
      </c>
      <c r="D24" s="1">
        <f>F24-[1]Italy!F24</f>
        <v>-4884.8474680498039</v>
      </c>
      <c r="E24" s="109">
        <v>45252.52563704038</v>
      </c>
      <c r="F24" s="1">
        <v>8656.5348863288855</v>
      </c>
      <c r="G24" s="1">
        <v>62104.737550761311</v>
      </c>
      <c r="H24" s="158"/>
      <c r="I24" s="158"/>
      <c r="J24" s="158"/>
      <c r="K24" s="158"/>
      <c r="L24" s="158"/>
      <c r="M24" s="159"/>
      <c r="N24" s="160"/>
      <c r="O24" s="160"/>
      <c r="P24" s="160"/>
      <c r="Q24" s="158"/>
      <c r="R24" s="158"/>
      <c r="S24" s="158"/>
      <c r="T24" s="158"/>
      <c r="U24" s="158"/>
      <c r="V24" s="158"/>
      <c r="W24" s="161"/>
    </row>
    <row r="25" spans="1:23" x14ac:dyDescent="0.25">
      <c r="A25" s="16" t="s">
        <v>7</v>
      </c>
      <c r="B25" s="23">
        <f t="shared" si="0"/>
        <v>1.059104000069508</v>
      </c>
      <c r="C25" s="47">
        <f>E25-[1]Italy!E25</f>
        <v>-371.13423361274363</v>
      </c>
      <c r="D25" s="1">
        <f>F25-[1]Italy!F25</f>
        <v>-143.44516671254132</v>
      </c>
      <c r="E25" s="109">
        <v>9710.7484034042591</v>
      </c>
      <c r="F25" s="1">
        <v>4716.0067694863683</v>
      </c>
      <c r="G25" s="1">
        <v>13059.684257117166</v>
      </c>
      <c r="H25" s="158"/>
      <c r="I25" s="158"/>
      <c r="J25" s="158"/>
      <c r="K25" s="158"/>
      <c r="L25" s="158"/>
      <c r="M25" s="159"/>
      <c r="N25" s="158"/>
      <c r="O25" s="158"/>
      <c r="P25" s="158"/>
      <c r="Q25" s="158"/>
      <c r="R25" s="158"/>
      <c r="S25" s="158"/>
      <c r="T25" s="158"/>
      <c r="U25" s="158"/>
      <c r="V25" s="158"/>
      <c r="W25" s="161"/>
    </row>
    <row r="26" spans="1:23" x14ac:dyDescent="0.25">
      <c r="A26" s="16" t="s">
        <v>104</v>
      </c>
      <c r="B26" s="23">
        <f t="shared" si="0"/>
        <v>7.4311431513682127</v>
      </c>
      <c r="C26" s="47">
        <f>E26-[1]Italy!E26</f>
        <v>-666.56589837926913</v>
      </c>
      <c r="D26" s="1">
        <f>F26-[1]Italy!F26</f>
        <v>-350</v>
      </c>
      <c r="E26" s="109">
        <v>2950.9001029788747</v>
      </c>
      <c r="F26" s="1">
        <v>350</v>
      </c>
      <c r="G26" s="1">
        <v>3646.7813835424104</v>
      </c>
      <c r="H26" s="158"/>
      <c r="I26" s="158"/>
      <c r="J26" s="158"/>
      <c r="K26" s="158"/>
      <c r="L26" s="158"/>
      <c r="M26" s="159"/>
      <c r="N26" s="160"/>
      <c r="O26" s="160"/>
      <c r="P26" s="160"/>
      <c r="Q26" s="158"/>
      <c r="R26" s="158"/>
      <c r="S26" s="158"/>
      <c r="T26" s="158"/>
      <c r="U26" s="158"/>
      <c r="V26" s="158"/>
      <c r="W26" s="161"/>
    </row>
    <row r="27" spans="1:23" x14ac:dyDescent="0.25">
      <c r="A27" s="16" t="s">
        <v>30</v>
      </c>
      <c r="B27" s="23">
        <f t="shared" si="0"/>
        <v>1.6072265758786943</v>
      </c>
      <c r="C27" s="47">
        <f>E27-[1]Italy!E27</f>
        <v>-1265.8307772551507</v>
      </c>
      <c r="D27" s="1">
        <f>F27-[1]Italy!F27</f>
        <v>-570.13222072582676</v>
      </c>
      <c r="E27" s="109">
        <v>8797.0675651612546</v>
      </c>
      <c r="F27" s="1">
        <v>3374.109349202397</v>
      </c>
      <c r="G27" s="1">
        <v>13580.682088885846</v>
      </c>
      <c r="H27" s="158"/>
      <c r="I27" s="158"/>
      <c r="J27" s="158"/>
      <c r="K27" s="158"/>
      <c r="L27" s="158"/>
      <c r="M27" s="159"/>
      <c r="N27" s="160"/>
      <c r="O27" s="160"/>
      <c r="P27" s="160"/>
      <c r="Q27" s="158"/>
      <c r="R27" s="158"/>
      <c r="S27" s="158"/>
      <c r="T27" s="158"/>
      <c r="U27" s="158"/>
      <c r="V27" s="158"/>
      <c r="W27" s="161"/>
    </row>
    <row r="28" spans="1:23" ht="13.8" thickBot="1" x14ac:dyDescent="0.3">
      <c r="A28" s="26" t="s">
        <v>59</v>
      </c>
      <c r="B28" s="24">
        <f t="shared" si="0"/>
        <v>3.8428197555406696</v>
      </c>
      <c r="C28" s="48">
        <f>E28-[1]Italy!E28</f>
        <v>-12175.094560317892</v>
      </c>
      <c r="D28" s="9">
        <f>F28-[1]Italy!F28</f>
        <v>-3300</v>
      </c>
      <c r="E28" s="126">
        <v>29541.200508798087</v>
      </c>
      <c r="F28" s="9">
        <v>6100</v>
      </c>
      <c r="G28" s="9">
        <v>31434.046607730834</v>
      </c>
      <c r="H28" s="162"/>
      <c r="I28" s="162"/>
      <c r="J28" s="162"/>
      <c r="K28" s="162"/>
      <c r="L28" s="162"/>
      <c r="M28" s="163"/>
      <c r="N28" s="160"/>
      <c r="O28" s="160"/>
      <c r="P28" s="160"/>
      <c r="Q28" s="162"/>
      <c r="R28" s="162"/>
      <c r="S28" s="162"/>
      <c r="T28" s="162"/>
      <c r="U28" s="162"/>
      <c r="V28" s="162"/>
      <c r="W28" s="164"/>
    </row>
    <row r="29" spans="1:23" ht="13.8" thickBot="1" x14ac:dyDescent="0.3">
      <c r="A29" s="28" t="s">
        <v>23</v>
      </c>
      <c r="B29" s="29">
        <f t="shared" si="0"/>
        <v>3.1494111454520981</v>
      </c>
      <c r="C29" s="49">
        <f>E29-[1]Italy!E29</f>
        <v>-23937.80709554335</v>
      </c>
      <c r="D29" s="30">
        <f>F29-[1]Italy!F29</f>
        <v>-9248.4248554881742</v>
      </c>
      <c r="E29" s="102">
        <f t="shared" ref="E29:W29" si="4">SUM(E24:E28)</f>
        <v>96252.442217382864</v>
      </c>
      <c r="F29" s="30">
        <f t="shared" si="4"/>
        <v>23196.651005017651</v>
      </c>
      <c r="G29" s="30">
        <f t="shared" si="4"/>
        <v>123825.93188803758</v>
      </c>
      <c r="H29" s="30">
        <f t="shared" si="4"/>
        <v>0</v>
      </c>
      <c r="I29" s="30">
        <f t="shared" si="4"/>
        <v>0</v>
      </c>
      <c r="J29" s="30">
        <f t="shared" si="4"/>
        <v>0</v>
      </c>
      <c r="K29" s="30">
        <f t="shared" si="4"/>
        <v>0</v>
      </c>
      <c r="L29" s="30">
        <f t="shared" si="4"/>
        <v>0</v>
      </c>
      <c r="M29" s="132">
        <f t="shared" si="4"/>
        <v>0</v>
      </c>
      <c r="N29" s="43">
        <f t="shared" si="4"/>
        <v>0</v>
      </c>
      <c r="O29" s="43">
        <f t="shared" si="4"/>
        <v>0</v>
      </c>
      <c r="P29" s="43">
        <f t="shared" si="4"/>
        <v>0</v>
      </c>
      <c r="Q29" s="30">
        <f t="shared" si="4"/>
        <v>0</v>
      </c>
      <c r="R29" s="30">
        <f t="shared" si="4"/>
        <v>0</v>
      </c>
      <c r="S29" s="30">
        <f t="shared" si="4"/>
        <v>0</v>
      </c>
      <c r="T29" s="30">
        <f t="shared" si="4"/>
        <v>0</v>
      </c>
      <c r="U29" s="30">
        <f t="shared" si="4"/>
        <v>0</v>
      </c>
      <c r="V29" s="30">
        <f t="shared" si="4"/>
        <v>0</v>
      </c>
      <c r="W29" s="31">
        <f t="shared" si="4"/>
        <v>0</v>
      </c>
    </row>
    <row r="30" spans="1:23" x14ac:dyDescent="0.25">
      <c r="B30" t="str">
        <f t="shared" si="0"/>
        <v/>
      </c>
    </row>
    <row r="31" spans="1:23" x14ac:dyDescent="0.25">
      <c r="A31" s="50" t="s">
        <v>179</v>
      </c>
      <c r="B31" t="str">
        <f t="shared" si="0"/>
        <v/>
      </c>
    </row>
    <row r="32" spans="1:23" x14ac:dyDescent="0.25">
      <c r="B32" t="str">
        <f t="shared" si="0"/>
        <v/>
      </c>
    </row>
    <row r="33" spans="2:24" x14ac:dyDescent="0.25">
      <c r="B33" t="str">
        <f t="shared" si="0"/>
        <v/>
      </c>
    </row>
    <row r="34" spans="2:24" x14ac:dyDescent="0.25">
      <c r="B34" t="str">
        <f t="shared" si="0"/>
        <v/>
      </c>
    </row>
    <row r="35" spans="2:24" x14ac:dyDescent="0.25">
      <c r="B35" t="str">
        <f t="shared" si="0"/>
        <v/>
      </c>
    </row>
    <row r="36" spans="2:24" ht="17.399999999999999" x14ac:dyDescent="0.3">
      <c r="B36" t="str">
        <f t="shared" si="0"/>
        <v/>
      </c>
      <c r="V36" s="5"/>
      <c r="W36" s="1"/>
      <c r="X36" s="1"/>
    </row>
    <row r="37" spans="2:24" ht="17.399999999999999" x14ac:dyDescent="0.3">
      <c r="B37" t="str">
        <f t="shared" si="0"/>
        <v/>
      </c>
      <c r="V37" s="5"/>
      <c r="W37" s="1"/>
      <c r="X37" s="1"/>
    </row>
    <row r="38" spans="2:24" ht="17.399999999999999" x14ac:dyDescent="0.3">
      <c r="B38" t="str">
        <f t="shared" si="0"/>
        <v/>
      </c>
      <c r="V38" s="5"/>
      <c r="W38" s="1"/>
      <c r="X38" s="1"/>
    </row>
    <row r="39" spans="2:24" ht="17.399999999999999" x14ac:dyDescent="0.3">
      <c r="B39" t="str">
        <f t="shared" si="0"/>
        <v/>
      </c>
      <c r="V39" s="5"/>
      <c r="W39" s="1"/>
      <c r="X39" s="1"/>
    </row>
    <row r="40" spans="2:24" ht="17.399999999999999" x14ac:dyDescent="0.3">
      <c r="B40" t="str">
        <f t="shared" si="0"/>
        <v/>
      </c>
      <c r="V40" s="5"/>
      <c r="W40" s="1"/>
      <c r="X40" s="1"/>
    </row>
    <row r="41" spans="2:24" ht="17.399999999999999" x14ac:dyDescent="0.3">
      <c r="B41" t="str">
        <f t="shared" si="0"/>
        <v/>
      </c>
      <c r="V41" s="5"/>
      <c r="W41" s="1"/>
      <c r="X41" s="1"/>
    </row>
    <row r="42" spans="2:24" ht="17.399999999999999" x14ac:dyDescent="0.3">
      <c r="B42" t="str">
        <f t="shared" si="0"/>
        <v/>
      </c>
      <c r="V42" s="5"/>
      <c r="W42" s="1"/>
      <c r="X42" s="1"/>
    </row>
    <row r="43" spans="2:24" ht="17.399999999999999" x14ac:dyDescent="0.3">
      <c r="B43" t="str">
        <f t="shared" si="0"/>
        <v/>
      </c>
      <c r="V43" s="5"/>
      <c r="W43" s="1"/>
      <c r="X43" s="1"/>
    </row>
    <row r="44" spans="2:24" ht="17.399999999999999" x14ac:dyDescent="0.3">
      <c r="B44" t="str">
        <f t="shared" si="0"/>
        <v/>
      </c>
      <c r="V44" s="5"/>
      <c r="W44" s="1"/>
      <c r="X44" s="1"/>
    </row>
    <row r="45" spans="2:24" ht="17.399999999999999" x14ac:dyDescent="0.3">
      <c r="B45" t="str">
        <f t="shared" si="0"/>
        <v/>
      </c>
      <c r="V45" s="5"/>
      <c r="W45" s="1"/>
      <c r="X45" s="1"/>
    </row>
    <row r="46" spans="2:24" ht="17.399999999999999" x14ac:dyDescent="0.3">
      <c r="B46" t="str">
        <f t="shared" si="0"/>
        <v/>
      </c>
      <c r="V46" s="6"/>
      <c r="W46" s="1"/>
      <c r="X46" s="1"/>
    </row>
    <row r="47" spans="2:24" ht="18" x14ac:dyDescent="0.35">
      <c r="B47" t="str">
        <f t="shared" si="0"/>
        <v/>
      </c>
      <c r="V47" s="7"/>
      <c r="W47" s="2"/>
      <c r="X47" s="2"/>
    </row>
    <row r="48" spans="2:24" x14ac:dyDescent="0.25">
      <c r="B48" t="str">
        <f t="shared" si="0"/>
        <v/>
      </c>
    </row>
    <row r="49" spans="2:2" x14ac:dyDescent="0.25">
      <c r="B49" t="str">
        <f t="shared" si="0"/>
        <v/>
      </c>
    </row>
    <row r="50" spans="2:2" x14ac:dyDescent="0.25">
      <c r="B50" t="str">
        <f t="shared" si="0"/>
        <v/>
      </c>
    </row>
  </sheetData>
  <pageMargins left="0.75" right="0.75" top="1" bottom="1" header="0.5" footer="0.5"/>
  <pageSetup paperSize="9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X50"/>
  <sheetViews>
    <sheetView zoomScaleNormal="100" workbookViewId="0"/>
  </sheetViews>
  <sheetFormatPr defaultColWidth="9.109375" defaultRowHeight="13.2" x14ac:dyDescent="0.25"/>
  <cols>
    <col min="1" max="1" width="29.33203125" customWidth="1"/>
    <col min="2" max="2" width="10.6640625" customWidth="1"/>
    <col min="3" max="12" width="11.44140625" customWidth="1"/>
    <col min="13" max="23" width="10.109375" bestFit="1" customWidth="1"/>
  </cols>
  <sheetData>
    <row r="1" spans="1:23" ht="13.8" thickBot="1" x14ac:dyDescent="0.3">
      <c r="A1" s="19" t="s">
        <v>24</v>
      </c>
      <c r="B1" s="20" t="s">
        <v>182</v>
      </c>
      <c r="C1" s="46" t="s">
        <v>183</v>
      </c>
      <c r="D1" s="79" t="s">
        <v>180</v>
      </c>
      <c r="E1" s="127">
        <v>45658</v>
      </c>
      <c r="F1" s="82">
        <v>45292</v>
      </c>
      <c r="G1" s="82">
        <v>44927</v>
      </c>
      <c r="H1" s="82">
        <v>44562</v>
      </c>
      <c r="I1" s="82">
        <v>44197</v>
      </c>
      <c r="J1" s="82">
        <v>43831</v>
      </c>
      <c r="K1" s="82">
        <v>43466</v>
      </c>
      <c r="L1" s="21">
        <v>43101</v>
      </c>
      <c r="M1" s="21">
        <v>42736</v>
      </c>
      <c r="N1" s="21">
        <v>42370</v>
      </c>
      <c r="O1" s="21">
        <v>42005</v>
      </c>
      <c r="P1" s="21">
        <v>41640</v>
      </c>
      <c r="Q1" s="21">
        <v>41275</v>
      </c>
      <c r="R1" s="21">
        <v>40909</v>
      </c>
      <c r="S1" s="21">
        <v>40544</v>
      </c>
      <c r="T1" s="21">
        <v>40179</v>
      </c>
      <c r="U1" s="21">
        <v>39814</v>
      </c>
      <c r="V1" s="21">
        <v>39448</v>
      </c>
      <c r="W1" s="22">
        <v>39083</v>
      </c>
    </row>
    <row r="2" spans="1:23" x14ac:dyDescent="0.25">
      <c r="A2" s="37" t="s">
        <v>4</v>
      </c>
      <c r="B2" s="23" t="str">
        <f>IFERROR((E2/F2-1), "")</f>
        <v/>
      </c>
      <c r="C2" s="47">
        <f>E2-[1]Poland!E2</f>
        <v>0</v>
      </c>
      <c r="D2" s="1">
        <f>F2-[1]Poland!F2</f>
        <v>0</v>
      </c>
      <c r="E2" s="109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>
        <v>5000</v>
      </c>
      <c r="U2" s="1">
        <v>4000</v>
      </c>
      <c r="V2" s="1">
        <v>0</v>
      </c>
      <c r="W2" s="25">
        <v>0</v>
      </c>
    </row>
    <row r="3" spans="1:23" x14ac:dyDescent="0.25">
      <c r="A3" s="37" t="s">
        <v>33</v>
      </c>
      <c r="B3" s="23" t="str">
        <f t="shared" ref="B3:B50" si="0">IFERROR((E3/F3-1), "")</f>
        <v/>
      </c>
      <c r="C3" s="47">
        <f>E3-[1]Poland!E3</f>
        <v>0</v>
      </c>
      <c r="D3" s="1">
        <f>F3-[1]Poland!F3</f>
        <v>0</v>
      </c>
      <c r="E3" s="109"/>
      <c r="F3" s="1"/>
      <c r="G3" s="1"/>
      <c r="H3" s="1"/>
      <c r="I3" s="1"/>
      <c r="J3" s="1"/>
      <c r="K3" s="1"/>
      <c r="L3" s="1"/>
      <c r="M3" s="1"/>
      <c r="N3" s="1">
        <v>0</v>
      </c>
      <c r="O3" s="1">
        <v>500</v>
      </c>
      <c r="P3" s="1">
        <v>1000</v>
      </c>
      <c r="Q3" s="1">
        <v>5000</v>
      </c>
      <c r="R3" s="1">
        <v>6000</v>
      </c>
      <c r="S3" s="1">
        <v>15000</v>
      </c>
      <c r="T3" s="1">
        <v>28000</v>
      </c>
      <c r="U3" s="1">
        <v>28000</v>
      </c>
      <c r="V3" s="1">
        <v>8000</v>
      </c>
      <c r="W3" s="25">
        <v>20000</v>
      </c>
    </row>
    <row r="4" spans="1:23" x14ac:dyDescent="0.25">
      <c r="A4" s="16" t="s">
        <v>2</v>
      </c>
      <c r="B4" s="23" t="str">
        <f t="shared" si="0"/>
        <v/>
      </c>
      <c r="C4" s="47">
        <f>E4-[1]Poland!E4</f>
        <v>0</v>
      </c>
      <c r="D4" s="1">
        <f>F4-[1]Poland!F4</f>
        <v>0</v>
      </c>
      <c r="E4" s="109"/>
      <c r="F4" s="1"/>
      <c r="G4" s="1"/>
      <c r="H4" s="1"/>
      <c r="I4" s="1"/>
      <c r="J4" s="1"/>
      <c r="K4" s="1"/>
      <c r="L4" s="1"/>
      <c r="M4" s="1">
        <v>0</v>
      </c>
      <c r="N4" s="1">
        <v>500</v>
      </c>
      <c r="O4" s="1">
        <v>500</v>
      </c>
      <c r="P4" s="1">
        <v>1000</v>
      </c>
      <c r="Q4" s="1">
        <v>5000</v>
      </c>
      <c r="R4" s="1">
        <v>6000</v>
      </c>
      <c r="S4" s="1"/>
      <c r="T4" s="1">
        <v>14000</v>
      </c>
      <c r="U4" s="1">
        <v>13000</v>
      </c>
      <c r="V4" s="1">
        <v>3000</v>
      </c>
      <c r="W4" s="25">
        <v>2000</v>
      </c>
    </row>
    <row r="5" spans="1:23" x14ac:dyDescent="0.25">
      <c r="A5" s="16" t="s">
        <v>9</v>
      </c>
      <c r="B5" s="23">
        <f t="shared" si="0"/>
        <v>-0.16666666666666663</v>
      </c>
      <c r="C5" s="47">
        <f>E5-[1]Poland!E5</f>
        <v>-30000</v>
      </c>
      <c r="D5" s="1">
        <f>F5-[1]Poland!F5</f>
        <v>-30000</v>
      </c>
      <c r="E5" s="109">
        <v>100000</v>
      </c>
      <c r="F5" s="1">
        <v>120000</v>
      </c>
      <c r="G5" s="1">
        <v>130000</v>
      </c>
      <c r="H5" s="1">
        <v>160000</v>
      </c>
      <c r="I5" s="1">
        <v>120000</v>
      </c>
      <c r="J5" s="1">
        <v>95000</v>
      </c>
      <c r="K5" s="1">
        <v>135000</v>
      </c>
      <c r="L5" s="1">
        <v>75000</v>
      </c>
      <c r="M5" s="1">
        <v>70000</v>
      </c>
      <c r="N5" s="1">
        <v>80000</v>
      </c>
      <c r="O5" s="1">
        <v>80000</v>
      </c>
      <c r="P5" s="1">
        <v>100000</v>
      </c>
      <c r="Q5" s="1">
        <v>60000</v>
      </c>
      <c r="R5" s="1">
        <v>85000</v>
      </c>
      <c r="S5" s="1">
        <v>62000</v>
      </c>
      <c r="T5" s="1">
        <v>68000</v>
      </c>
      <c r="U5" s="1">
        <v>45000</v>
      </c>
      <c r="V5" s="1">
        <v>35000</v>
      </c>
      <c r="W5" s="25">
        <v>34000</v>
      </c>
    </row>
    <row r="6" spans="1:23" x14ac:dyDescent="0.25">
      <c r="A6" s="16" t="s">
        <v>14</v>
      </c>
      <c r="B6" s="23">
        <f t="shared" si="0"/>
        <v>-9.9999999999999978E-2</v>
      </c>
      <c r="C6" s="47">
        <f>E6-[1]Poland!E6</f>
        <v>-4000</v>
      </c>
      <c r="D6" s="1">
        <f>F6-[1]Poland!F6</f>
        <v>-5000</v>
      </c>
      <c r="E6" s="109">
        <v>18000</v>
      </c>
      <c r="F6" s="1">
        <v>20000</v>
      </c>
      <c r="G6" s="1">
        <v>29000</v>
      </c>
      <c r="H6" s="1">
        <v>55000</v>
      </c>
      <c r="I6" s="1">
        <v>70000</v>
      </c>
      <c r="J6" s="1">
        <v>70000</v>
      </c>
      <c r="K6" s="1">
        <v>92000</v>
      </c>
      <c r="L6" s="1">
        <v>85000</v>
      </c>
      <c r="M6" s="1">
        <v>90000</v>
      </c>
      <c r="N6" s="1">
        <v>90000</v>
      </c>
      <c r="O6" s="1">
        <v>90000</v>
      </c>
      <c r="P6" s="1">
        <v>90000</v>
      </c>
      <c r="Q6" s="1">
        <v>90000</v>
      </c>
      <c r="R6" s="1">
        <v>82000</v>
      </c>
      <c r="S6" s="1">
        <v>25000</v>
      </c>
      <c r="T6" s="1">
        <v>20000</v>
      </c>
      <c r="U6" s="1">
        <v>20000</v>
      </c>
      <c r="V6" s="1">
        <v>16000</v>
      </c>
      <c r="W6" s="25">
        <v>25000</v>
      </c>
    </row>
    <row r="7" spans="1:23" x14ac:dyDescent="0.25">
      <c r="A7" s="16" t="s">
        <v>3</v>
      </c>
      <c r="B7" s="23">
        <f t="shared" si="0"/>
        <v>-0.13043478260869568</v>
      </c>
      <c r="C7" s="47">
        <f>E7-[1]Poland!E7</f>
        <v>-15000</v>
      </c>
      <c r="D7" s="1">
        <f>F7-[1]Poland!F7</f>
        <v>-10000</v>
      </c>
      <c r="E7" s="109">
        <v>200000</v>
      </c>
      <c r="F7" s="1">
        <v>230000</v>
      </c>
      <c r="G7" s="1">
        <v>200000</v>
      </c>
      <c r="H7" s="1">
        <v>210000</v>
      </c>
      <c r="I7" s="1">
        <v>130000</v>
      </c>
      <c r="J7" s="1">
        <v>100000</v>
      </c>
      <c r="K7" s="1">
        <v>140000</v>
      </c>
      <c r="L7" s="1">
        <v>140000</v>
      </c>
      <c r="M7" s="80">
        <v>150000</v>
      </c>
      <c r="N7" s="80">
        <v>160000</v>
      </c>
      <c r="O7" s="80">
        <v>160000</v>
      </c>
      <c r="P7" s="80">
        <v>130000</v>
      </c>
      <c r="Q7" s="80">
        <v>130000</v>
      </c>
      <c r="R7" s="80">
        <v>140000</v>
      </c>
      <c r="S7" s="80">
        <v>65000</v>
      </c>
      <c r="T7" s="80">
        <v>87000</v>
      </c>
      <c r="U7" s="80">
        <v>80000</v>
      </c>
      <c r="V7" s="1">
        <v>65000</v>
      </c>
      <c r="W7" s="25">
        <v>60000</v>
      </c>
    </row>
    <row r="8" spans="1:23" x14ac:dyDescent="0.25">
      <c r="A8" s="16" t="s">
        <v>10</v>
      </c>
      <c r="B8" s="23">
        <f t="shared" si="0"/>
        <v>-9.375E-2</v>
      </c>
      <c r="C8" s="47">
        <f>E8-[1]Poland!E8</f>
        <v>-15000</v>
      </c>
      <c r="D8" s="1">
        <f>F8-[1]Poland!F8</f>
        <v>-20000</v>
      </c>
      <c r="E8" s="109">
        <v>145000</v>
      </c>
      <c r="F8" s="1">
        <v>160000</v>
      </c>
      <c r="G8" s="1">
        <v>210000</v>
      </c>
      <c r="H8" s="1">
        <v>260000</v>
      </c>
      <c r="I8" s="1">
        <v>230000</v>
      </c>
      <c r="J8" s="1">
        <v>160000</v>
      </c>
      <c r="K8" s="1">
        <v>310000</v>
      </c>
      <c r="L8" s="1">
        <v>150000</v>
      </c>
      <c r="M8" s="80">
        <v>320000</v>
      </c>
      <c r="N8" s="80">
        <v>330000</v>
      </c>
      <c r="O8" s="80">
        <v>320000</v>
      </c>
      <c r="P8" s="80">
        <v>260000</v>
      </c>
      <c r="Q8" s="80">
        <v>250000</v>
      </c>
      <c r="R8" s="80">
        <v>240000</v>
      </c>
      <c r="S8" s="80">
        <v>95000</v>
      </c>
      <c r="T8" s="80">
        <v>115000</v>
      </c>
      <c r="U8" s="80">
        <v>140000</v>
      </c>
      <c r="V8" s="1">
        <v>35000</v>
      </c>
      <c r="W8" s="25">
        <v>85000</v>
      </c>
    </row>
    <row r="9" spans="1:23" x14ac:dyDescent="0.25">
      <c r="A9" s="16" t="s">
        <v>27</v>
      </c>
      <c r="B9" s="23">
        <f t="shared" si="0"/>
        <v>-0.19999999999999996</v>
      </c>
      <c r="C9" s="47">
        <f>E9-[1]Poland!E9</f>
        <v>-5000</v>
      </c>
      <c r="D9" s="1">
        <f>F9-[1]Poland!F9</f>
        <v>-10000</v>
      </c>
      <c r="E9" s="109">
        <v>40000</v>
      </c>
      <c r="F9" s="1">
        <v>50000</v>
      </c>
      <c r="G9" s="1">
        <v>60000</v>
      </c>
      <c r="H9" s="1">
        <v>75000</v>
      </c>
      <c r="I9" s="1">
        <v>100000</v>
      </c>
      <c r="J9" s="1">
        <v>50000</v>
      </c>
      <c r="K9" s="1">
        <v>100000</v>
      </c>
      <c r="L9" s="1">
        <v>45000</v>
      </c>
      <c r="M9" s="80">
        <v>95000</v>
      </c>
      <c r="N9" s="80">
        <v>100000</v>
      </c>
      <c r="O9" s="80">
        <v>95000</v>
      </c>
      <c r="P9" s="80">
        <v>85000</v>
      </c>
      <c r="Q9" s="80">
        <v>80000</v>
      </c>
      <c r="R9" s="80">
        <v>90000</v>
      </c>
      <c r="S9" s="80">
        <v>35000</v>
      </c>
      <c r="T9" s="80">
        <v>78000</v>
      </c>
      <c r="U9" s="80">
        <v>55000</v>
      </c>
      <c r="V9" s="1">
        <v>7000</v>
      </c>
      <c r="W9" s="25">
        <v>15000</v>
      </c>
    </row>
    <row r="10" spans="1:23" x14ac:dyDescent="0.25">
      <c r="A10" s="16" t="s">
        <v>157</v>
      </c>
      <c r="B10" s="23">
        <f t="shared" si="0"/>
        <v>-0.2857142857142857</v>
      </c>
      <c r="C10" s="47">
        <f>E10-[1]Poland!E10</f>
        <v>-15000</v>
      </c>
      <c r="D10" s="1">
        <f>F10-[1]Poland!F10</f>
        <v>-10000</v>
      </c>
      <c r="E10" s="109">
        <v>50000</v>
      </c>
      <c r="F10" s="1">
        <v>70000</v>
      </c>
      <c r="G10" s="1">
        <v>75000</v>
      </c>
      <c r="H10" s="1">
        <v>110000</v>
      </c>
      <c r="I10" s="1">
        <v>120000</v>
      </c>
      <c r="J10" s="1">
        <v>30000</v>
      </c>
      <c r="K10" s="1">
        <v>130000</v>
      </c>
      <c r="L10" s="1">
        <v>80000</v>
      </c>
      <c r="M10" s="80">
        <v>110000</v>
      </c>
      <c r="N10" s="80">
        <v>120000</v>
      </c>
      <c r="O10" s="80">
        <v>120000</v>
      </c>
      <c r="P10" s="80">
        <v>120000</v>
      </c>
      <c r="Q10" s="80">
        <v>115000</v>
      </c>
      <c r="R10" s="80">
        <v>115000</v>
      </c>
      <c r="S10" s="80"/>
      <c r="T10" s="80">
        <v>10000</v>
      </c>
      <c r="U10" s="80">
        <v>8000</v>
      </c>
      <c r="V10" s="1">
        <v>4000</v>
      </c>
      <c r="W10" s="25">
        <v>4000</v>
      </c>
    </row>
    <row r="11" spans="1:23" x14ac:dyDescent="0.25">
      <c r="A11" s="16" t="s">
        <v>34</v>
      </c>
      <c r="B11" s="23" t="str">
        <f t="shared" si="0"/>
        <v/>
      </c>
      <c r="C11" s="47">
        <f>E11-[1]Poland!E11</f>
        <v>0</v>
      </c>
      <c r="D11" s="1">
        <f>F11-[1]Poland!F11</f>
        <v>0</v>
      </c>
      <c r="E11" s="109"/>
      <c r="F11" s="1"/>
      <c r="G11" s="1"/>
      <c r="H11" s="1"/>
      <c r="I11" s="1"/>
      <c r="J11" s="1"/>
      <c r="K11" s="1"/>
      <c r="L11" s="1"/>
      <c r="M11" s="80"/>
      <c r="N11" s="80">
        <v>0</v>
      </c>
      <c r="O11" s="80">
        <v>500</v>
      </c>
      <c r="P11" s="80">
        <v>1000</v>
      </c>
      <c r="Q11" s="80">
        <v>1000</v>
      </c>
      <c r="R11" s="80">
        <v>5000</v>
      </c>
      <c r="S11" s="80">
        <v>28000</v>
      </c>
      <c r="T11" s="80">
        <v>62000</v>
      </c>
      <c r="U11" s="80">
        <v>42000</v>
      </c>
      <c r="V11" s="1">
        <v>20000</v>
      </c>
      <c r="W11" s="25">
        <v>35000</v>
      </c>
    </row>
    <row r="12" spans="1:23" x14ac:dyDescent="0.25">
      <c r="A12" s="16" t="s">
        <v>13</v>
      </c>
      <c r="B12" s="23">
        <f t="shared" si="0"/>
        <v>-0.19999999999999996</v>
      </c>
      <c r="C12" s="47">
        <f>E12-[1]Poland!E12</f>
        <v>-10000</v>
      </c>
      <c r="D12" s="1">
        <f>F12-[1]Poland!F12</f>
        <v>-5000</v>
      </c>
      <c r="E12" s="109">
        <v>40000</v>
      </c>
      <c r="F12" s="1">
        <v>50000</v>
      </c>
      <c r="G12" s="1">
        <v>45000</v>
      </c>
      <c r="H12" s="1">
        <v>34000</v>
      </c>
      <c r="I12" s="1">
        <v>32000</v>
      </c>
      <c r="J12" s="1">
        <v>10000</v>
      </c>
      <c r="K12" s="1">
        <v>35000</v>
      </c>
      <c r="L12" s="1">
        <v>15000</v>
      </c>
      <c r="M12" s="80">
        <v>15000</v>
      </c>
      <c r="N12" s="80">
        <v>15000</v>
      </c>
      <c r="O12" s="80">
        <v>15000</v>
      </c>
      <c r="P12" s="80">
        <v>15000</v>
      </c>
      <c r="Q12" s="80"/>
      <c r="R12" s="80"/>
      <c r="S12" s="80"/>
      <c r="T12" s="80">
        <v>15000</v>
      </c>
      <c r="U12" s="80">
        <v>5000</v>
      </c>
      <c r="V12" s="1">
        <v>2000</v>
      </c>
      <c r="W12" s="25">
        <v>3000</v>
      </c>
    </row>
    <row r="13" spans="1:23" x14ac:dyDescent="0.25">
      <c r="A13" s="16" t="s">
        <v>19</v>
      </c>
      <c r="B13" s="23">
        <f t="shared" si="0"/>
        <v>-0.22222222222222221</v>
      </c>
      <c r="C13" s="47">
        <f>E13-[1]Poland!E13</f>
        <v>-10000</v>
      </c>
      <c r="D13" s="1">
        <f>F13-[1]Poland!F13</f>
        <v>-5000</v>
      </c>
      <c r="E13" s="109">
        <v>35000</v>
      </c>
      <c r="F13" s="1">
        <v>45000</v>
      </c>
      <c r="G13" s="1">
        <v>55000</v>
      </c>
      <c r="H13" s="1">
        <v>38000</v>
      </c>
      <c r="I13" s="1">
        <v>23000</v>
      </c>
      <c r="J13" s="1">
        <v>10000</v>
      </c>
      <c r="K13" s="1">
        <v>12000</v>
      </c>
      <c r="L13" s="1">
        <v>1000</v>
      </c>
      <c r="M13" s="80">
        <v>3000</v>
      </c>
      <c r="N13" s="80">
        <v>0</v>
      </c>
      <c r="O13" s="80">
        <v>3000</v>
      </c>
      <c r="P13" s="80">
        <v>2000</v>
      </c>
      <c r="Q13" s="80">
        <v>1000</v>
      </c>
      <c r="R13" s="80">
        <v>6000</v>
      </c>
      <c r="S13" s="80"/>
      <c r="T13" s="80">
        <v>18000</v>
      </c>
      <c r="U13" s="80">
        <v>15000</v>
      </c>
      <c r="V13" s="1">
        <v>7000</v>
      </c>
      <c r="W13" s="25">
        <v>7000</v>
      </c>
    </row>
    <row r="14" spans="1:23" x14ac:dyDescent="0.25">
      <c r="A14" s="16" t="s">
        <v>134</v>
      </c>
      <c r="B14" s="23">
        <f t="shared" si="0"/>
        <v>-0.1470588235294118</v>
      </c>
      <c r="C14" s="47">
        <f>E14-[1]Poland!E14</f>
        <v>-10000</v>
      </c>
      <c r="D14" s="1">
        <f>F14-[1]Poland!F14</f>
        <v>-15000</v>
      </c>
      <c r="E14" s="109">
        <v>145000</v>
      </c>
      <c r="F14" s="1">
        <v>170000</v>
      </c>
      <c r="G14" s="1">
        <v>245000</v>
      </c>
      <c r="H14" s="1">
        <v>180000</v>
      </c>
      <c r="I14" s="1">
        <v>150000</v>
      </c>
      <c r="J14" s="1">
        <v>100000</v>
      </c>
      <c r="K14" s="1">
        <v>70000</v>
      </c>
      <c r="L14" s="1"/>
      <c r="M14" s="80"/>
      <c r="N14" s="80"/>
      <c r="O14" s="80"/>
      <c r="P14" s="80"/>
      <c r="Q14" s="80"/>
      <c r="R14" s="80"/>
      <c r="S14" s="80"/>
      <c r="T14" s="80"/>
      <c r="U14" s="80"/>
      <c r="V14" s="1"/>
      <c r="W14" s="25"/>
    </row>
    <row r="15" spans="1:23" x14ac:dyDescent="0.25">
      <c r="A15" s="16" t="s">
        <v>89</v>
      </c>
      <c r="B15" s="23">
        <f t="shared" si="0"/>
        <v>-0.11111111111111116</v>
      </c>
      <c r="C15" s="47">
        <f>E15-[1]Poland!E15</f>
        <v>-10000</v>
      </c>
      <c r="D15" s="1">
        <f>F15-[1]Poland!F15</f>
        <v>-10000</v>
      </c>
      <c r="E15" s="109">
        <v>80000</v>
      </c>
      <c r="F15" s="1">
        <v>90000</v>
      </c>
      <c r="G15" s="1">
        <v>100000</v>
      </c>
      <c r="H15" s="1">
        <v>120000</v>
      </c>
      <c r="I15" s="1">
        <v>140000</v>
      </c>
      <c r="J15" s="1">
        <v>110000</v>
      </c>
      <c r="K15" s="1">
        <v>200000</v>
      </c>
      <c r="L15" s="1">
        <v>140000</v>
      </c>
      <c r="M15" s="80">
        <v>170000</v>
      </c>
      <c r="N15" s="80">
        <v>180000</v>
      </c>
      <c r="O15" s="80">
        <v>180000</v>
      </c>
      <c r="P15" s="80">
        <v>170000</v>
      </c>
      <c r="Q15" s="80">
        <v>150000</v>
      </c>
      <c r="R15" s="80">
        <v>145000</v>
      </c>
      <c r="S15" s="80">
        <v>65000</v>
      </c>
      <c r="T15" s="80">
        <v>85000</v>
      </c>
      <c r="U15" s="80">
        <v>80000</v>
      </c>
      <c r="V15" s="1">
        <v>50000</v>
      </c>
      <c r="W15" s="25">
        <v>60000</v>
      </c>
    </row>
    <row r="16" spans="1:23" x14ac:dyDescent="0.25">
      <c r="A16" s="16" t="s">
        <v>35</v>
      </c>
      <c r="B16" s="23" t="str">
        <f t="shared" si="0"/>
        <v/>
      </c>
      <c r="C16" s="47">
        <f>E16-[1]Poland!E16</f>
        <v>0</v>
      </c>
      <c r="D16" s="1">
        <f>F16-[1]Poland!F16</f>
        <v>0</v>
      </c>
      <c r="E16" s="109"/>
      <c r="F16" s="1"/>
      <c r="G16" s="1"/>
      <c r="H16" s="1"/>
      <c r="I16" s="1"/>
      <c r="J16" s="1"/>
      <c r="L16" s="1"/>
      <c r="M16" s="80"/>
      <c r="N16" s="80"/>
      <c r="O16" s="80"/>
      <c r="P16" s="80"/>
      <c r="Q16" s="80"/>
      <c r="R16" s="80"/>
      <c r="S16" s="80"/>
      <c r="T16" s="80">
        <v>5000</v>
      </c>
      <c r="U16" s="80">
        <v>5000</v>
      </c>
      <c r="V16" s="1">
        <v>0</v>
      </c>
      <c r="W16" s="25">
        <v>0</v>
      </c>
    </row>
    <row r="17" spans="1:24" ht="13.8" thickBot="1" x14ac:dyDescent="0.3">
      <c r="A17" s="18" t="s">
        <v>59</v>
      </c>
      <c r="B17" s="24">
        <f t="shared" si="0"/>
        <v>-0.16666666666666663</v>
      </c>
      <c r="C17" s="48">
        <f>E17-[1]Poland!E17</f>
        <v>-15000</v>
      </c>
      <c r="D17" s="9">
        <f>F17-[1]Poland!F17</f>
        <v>-10000</v>
      </c>
      <c r="E17" s="126">
        <v>75000</v>
      </c>
      <c r="F17" s="9">
        <v>90000</v>
      </c>
      <c r="G17" s="9">
        <v>110000</v>
      </c>
      <c r="H17" s="9">
        <v>140000</v>
      </c>
      <c r="I17" s="9">
        <v>250000</v>
      </c>
      <c r="J17" s="9">
        <v>100000</v>
      </c>
      <c r="K17" s="9">
        <v>250000</v>
      </c>
      <c r="L17" s="9">
        <v>120000</v>
      </c>
      <c r="M17" s="81">
        <v>200000</v>
      </c>
      <c r="N17" s="81">
        <v>230000</v>
      </c>
      <c r="O17" s="81">
        <v>220000</v>
      </c>
      <c r="P17" s="81">
        <v>110000</v>
      </c>
      <c r="Q17" s="81">
        <v>150000</v>
      </c>
      <c r="R17" s="81">
        <v>105000</v>
      </c>
      <c r="S17" s="81">
        <v>25000</v>
      </c>
      <c r="T17" s="81">
        <v>40000</v>
      </c>
      <c r="U17" s="81">
        <v>40000</v>
      </c>
      <c r="V17" s="9">
        <v>38000</v>
      </c>
      <c r="W17" s="27">
        <v>40000</v>
      </c>
    </row>
    <row r="18" spans="1:24" s="8" customFormat="1" ht="13.8" thickBot="1" x14ac:dyDescent="0.3">
      <c r="A18" s="28" t="s">
        <v>23</v>
      </c>
      <c r="B18" s="29">
        <f t="shared" si="0"/>
        <v>-0.15251141552511416</v>
      </c>
      <c r="C18" s="49">
        <f>E18-[1]Poland!E18</f>
        <v>-139000</v>
      </c>
      <c r="D18" s="30">
        <f>F18-[1]Poland!F18</f>
        <v>-130000</v>
      </c>
      <c r="E18" s="102">
        <f t="shared" ref="E18:K18" si="1">SUM(E2:E17)</f>
        <v>928000</v>
      </c>
      <c r="F18" s="30">
        <f t="shared" si="1"/>
        <v>1095000</v>
      </c>
      <c r="G18" s="30">
        <f t="shared" si="1"/>
        <v>1259000</v>
      </c>
      <c r="H18" s="30">
        <f t="shared" si="1"/>
        <v>1382000</v>
      </c>
      <c r="I18" s="30">
        <f t="shared" si="1"/>
        <v>1365000</v>
      </c>
      <c r="J18" s="30">
        <f t="shared" si="1"/>
        <v>835000</v>
      </c>
      <c r="K18" s="30">
        <f t="shared" si="1"/>
        <v>1474000</v>
      </c>
      <c r="L18" s="30">
        <f t="shared" ref="L18:Q18" si="2">SUM(L2:L17)</f>
        <v>851000</v>
      </c>
      <c r="M18" s="30">
        <f t="shared" si="2"/>
        <v>1223000</v>
      </c>
      <c r="N18" s="30">
        <f t="shared" si="2"/>
        <v>1305500</v>
      </c>
      <c r="O18" s="30">
        <f t="shared" si="2"/>
        <v>1284500</v>
      </c>
      <c r="P18" s="30">
        <f t="shared" si="2"/>
        <v>1085000</v>
      </c>
      <c r="Q18" s="30">
        <f t="shared" si="2"/>
        <v>1037000</v>
      </c>
      <c r="R18" s="30">
        <f t="shared" ref="R18:W18" si="3">SUM(R2:R17)</f>
        <v>1025000</v>
      </c>
      <c r="S18" s="30">
        <f t="shared" si="3"/>
        <v>415000</v>
      </c>
      <c r="T18" s="30">
        <f t="shared" si="3"/>
        <v>650000</v>
      </c>
      <c r="U18" s="30">
        <f t="shared" si="3"/>
        <v>580000</v>
      </c>
      <c r="V18" s="30">
        <f t="shared" si="3"/>
        <v>290000</v>
      </c>
      <c r="W18" s="31">
        <f t="shared" si="3"/>
        <v>390000</v>
      </c>
    </row>
    <row r="19" spans="1:24" x14ac:dyDescent="0.25">
      <c r="B19" s="32" t="str">
        <f t="shared" si="0"/>
        <v/>
      </c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</row>
    <row r="20" spans="1:24" ht="13.8" thickBot="1" x14ac:dyDescent="0.3">
      <c r="B20" s="32" t="str">
        <f t="shared" si="0"/>
        <v/>
      </c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</row>
    <row r="21" spans="1:24" ht="13.8" thickBot="1" x14ac:dyDescent="0.3">
      <c r="A21" s="19" t="s">
        <v>25</v>
      </c>
      <c r="B21" s="20" t="s">
        <v>182</v>
      </c>
      <c r="C21" s="46" t="s">
        <v>183</v>
      </c>
      <c r="D21" s="79" t="s">
        <v>180</v>
      </c>
      <c r="E21" s="127">
        <v>45658</v>
      </c>
      <c r="F21" s="82">
        <v>45292</v>
      </c>
      <c r="G21" s="82">
        <v>44927</v>
      </c>
      <c r="H21" s="82">
        <v>44562</v>
      </c>
      <c r="I21" s="82">
        <v>44197</v>
      </c>
      <c r="J21" s="82">
        <v>43831</v>
      </c>
      <c r="K21" s="82">
        <v>43466</v>
      </c>
      <c r="L21" s="21">
        <v>43101</v>
      </c>
      <c r="M21" s="21">
        <v>42736</v>
      </c>
      <c r="N21" s="21">
        <f>N1</f>
        <v>42370</v>
      </c>
      <c r="O21" s="21">
        <f>O1</f>
        <v>42005</v>
      </c>
      <c r="P21" s="21">
        <v>41640</v>
      </c>
      <c r="Q21" s="21">
        <v>41275</v>
      </c>
      <c r="R21" s="21">
        <v>40909</v>
      </c>
      <c r="S21" s="21">
        <v>40544</v>
      </c>
      <c r="T21" s="21">
        <v>40179</v>
      </c>
      <c r="U21" s="21">
        <v>39814</v>
      </c>
      <c r="V21" s="21">
        <v>39448</v>
      </c>
      <c r="W21" s="22">
        <v>39083</v>
      </c>
    </row>
    <row r="22" spans="1:24" x14ac:dyDescent="0.25">
      <c r="A22" s="16" t="s">
        <v>7</v>
      </c>
      <c r="B22" s="23">
        <f t="shared" si="0"/>
        <v>0.33333333333333326</v>
      </c>
      <c r="C22" s="47">
        <f>E22-[1]Poland!E22</f>
        <v>-10000</v>
      </c>
      <c r="D22" s="1">
        <f>F22-[1]Poland!F22</f>
        <v>-10000</v>
      </c>
      <c r="E22" s="109">
        <v>40000</v>
      </c>
      <c r="F22" s="1">
        <v>30000</v>
      </c>
      <c r="G22" s="1">
        <v>37000</v>
      </c>
      <c r="H22" s="1">
        <v>21000</v>
      </c>
      <c r="I22" s="1">
        <v>22000</v>
      </c>
      <c r="J22" s="1">
        <v>6000</v>
      </c>
      <c r="K22" s="1">
        <v>20000</v>
      </c>
      <c r="L22" s="1">
        <v>6000</v>
      </c>
      <c r="M22" s="1">
        <v>7000</v>
      </c>
      <c r="N22" s="1">
        <v>10000</v>
      </c>
      <c r="O22" s="1">
        <v>3000</v>
      </c>
      <c r="P22" s="1">
        <v>20000</v>
      </c>
      <c r="Q22" s="1">
        <v>6000</v>
      </c>
      <c r="R22" s="1">
        <v>15000</v>
      </c>
      <c r="S22" s="1">
        <v>10000</v>
      </c>
      <c r="T22" s="1">
        <v>28000</v>
      </c>
      <c r="U22" s="1">
        <v>15000</v>
      </c>
      <c r="V22" s="1">
        <v>6000</v>
      </c>
      <c r="W22" s="25">
        <v>20000</v>
      </c>
    </row>
    <row r="23" spans="1:24" x14ac:dyDescent="0.25">
      <c r="A23" s="37" t="s">
        <v>93</v>
      </c>
      <c r="B23" s="23" t="str">
        <f t="shared" si="0"/>
        <v/>
      </c>
      <c r="C23" s="47">
        <f>E23-[1]Poland!E23</f>
        <v>0</v>
      </c>
      <c r="D23" s="1">
        <f>F23-[1]Poland!F23</f>
        <v>0</v>
      </c>
      <c r="E23" s="109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>
        <v>0</v>
      </c>
      <c r="U23" s="1">
        <v>0</v>
      </c>
      <c r="V23" s="1">
        <v>0</v>
      </c>
      <c r="W23" s="25">
        <v>1000</v>
      </c>
    </row>
    <row r="24" spans="1:24" ht="13.8" thickBot="1" x14ac:dyDescent="0.3">
      <c r="A24" s="26" t="s">
        <v>59</v>
      </c>
      <c r="B24" s="24">
        <f t="shared" si="0"/>
        <v>0.25</v>
      </c>
      <c r="C24" s="48">
        <f>E24-[1]Poland!E24</f>
        <v>-1000</v>
      </c>
      <c r="D24" s="9">
        <f>F24-[1]Poland!F24</f>
        <v>4000</v>
      </c>
      <c r="E24" s="126">
        <v>5000</v>
      </c>
      <c r="F24" s="9">
        <v>4000</v>
      </c>
      <c r="G24" s="9">
        <v>4500</v>
      </c>
      <c r="H24" s="9">
        <v>4500</v>
      </c>
      <c r="I24" s="9">
        <v>4000</v>
      </c>
      <c r="J24" s="9">
        <v>1000</v>
      </c>
      <c r="K24" s="9">
        <v>3000</v>
      </c>
      <c r="L24" s="9">
        <v>0</v>
      </c>
      <c r="M24" s="9">
        <v>0</v>
      </c>
      <c r="N24" s="9">
        <v>1500</v>
      </c>
      <c r="O24" s="9">
        <v>1000</v>
      </c>
      <c r="P24" s="9">
        <v>4000</v>
      </c>
      <c r="Q24" s="9">
        <v>1000</v>
      </c>
      <c r="R24" s="9">
        <v>4000</v>
      </c>
      <c r="S24" s="9">
        <v>5000</v>
      </c>
      <c r="T24" s="9">
        <v>7000</v>
      </c>
      <c r="U24" s="9">
        <v>7000</v>
      </c>
      <c r="V24" s="9">
        <v>4000</v>
      </c>
      <c r="W24" s="27">
        <v>5000</v>
      </c>
    </row>
    <row r="25" spans="1:24" s="8" customFormat="1" ht="13.8" thickBot="1" x14ac:dyDescent="0.3">
      <c r="A25" s="28" t="s">
        <v>23</v>
      </c>
      <c r="B25" s="29">
        <f t="shared" si="0"/>
        <v>0.32352941176470584</v>
      </c>
      <c r="C25" s="49">
        <f>E25-[1]Poland!E25</f>
        <v>-11000</v>
      </c>
      <c r="D25" s="30">
        <f>F25-[1]Poland!F25</f>
        <v>-6000</v>
      </c>
      <c r="E25" s="102">
        <f t="shared" ref="E25:K25" si="4">SUM(E22:E24)</f>
        <v>45000</v>
      </c>
      <c r="F25" s="30">
        <f t="shared" si="4"/>
        <v>34000</v>
      </c>
      <c r="G25" s="30">
        <f t="shared" si="4"/>
        <v>41500</v>
      </c>
      <c r="H25" s="30">
        <f t="shared" si="4"/>
        <v>25500</v>
      </c>
      <c r="I25" s="30">
        <f t="shared" si="4"/>
        <v>26000</v>
      </c>
      <c r="J25" s="30">
        <f t="shared" si="4"/>
        <v>7000</v>
      </c>
      <c r="K25" s="30">
        <f t="shared" si="4"/>
        <v>23000</v>
      </c>
      <c r="L25" s="30">
        <f t="shared" ref="L25:Q25" si="5">SUM(L22:L24)</f>
        <v>6000</v>
      </c>
      <c r="M25" s="30">
        <f t="shared" si="5"/>
        <v>7000</v>
      </c>
      <c r="N25" s="30">
        <f t="shared" si="5"/>
        <v>11500</v>
      </c>
      <c r="O25" s="30">
        <f t="shared" si="5"/>
        <v>4000</v>
      </c>
      <c r="P25" s="30">
        <f t="shared" si="5"/>
        <v>24000</v>
      </c>
      <c r="Q25" s="30">
        <f t="shared" si="5"/>
        <v>7000</v>
      </c>
      <c r="R25" s="30">
        <f t="shared" ref="R25:W25" si="6">SUM(R22:R24)</f>
        <v>19000</v>
      </c>
      <c r="S25" s="30">
        <f t="shared" si="6"/>
        <v>15000</v>
      </c>
      <c r="T25" s="30">
        <f t="shared" si="6"/>
        <v>35000</v>
      </c>
      <c r="U25" s="30">
        <f t="shared" si="6"/>
        <v>22000</v>
      </c>
      <c r="V25" s="30">
        <f t="shared" si="6"/>
        <v>10000</v>
      </c>
      <c r="W25" s="31">
        <f t="shared" si="6"/>
        <v>26000</v>
      </c>
    </row>
    <row r="26" spans="1:24" x14ac:dyDescent="0.25">
      <c r="B26" t="str">
        <f t="shared" si="0"/>
        <v/>
      </c>
    </row>
    <row r="27" spans="1:24" ht="13.8" x14ac:dyDescent="0.25">
      <c r="A27" s="138" t="s">
        <v>174</v>
      </c>
      <c r="B27" t="str">
        <f t="shared" si="0"/>
        <v/>
      </c>
    </row>
    <row r="28" spans="1:24" ht="13.8" x14ac:dyDescent="0.25">
      <c r="A28" s="138"/>
      <c r="B28" t="str">
        <f t="shared" si="0"/>
        <v/>
      </c>
    </row>
    <row r="29" spans="1:24" x14ac:dyDescent="0.25">
      <c r="B29" t="str">
        <f t="shared" si="0"/>
        <v/>
      </c>
    </row>
    <row r="30" spans="1:24" x14ac:dyDescent="0.25">
      <c r="B30" t="str">
        <f t="shared" si="0"/>
        <v/>
      </c>
    </row>
    <row r="31" spans="1:24" x14ac:dyDescent="0.25">
      <c r="B31" t="str">
        <f t="shared" si="0"/>
        <v/>
      </c>
    </row>
    <row r="32" spans="1:24" ht="17.399999999999999" x14ac:dyDescent="0.3">
      <c r="B32" t="str">
        <f t="shared" si="0"/>
        <v/>
      </c>
      <c r="V32" s="5"/>
      <c r="W32" s="1"/>
      <c r="X32" s="1"/>
    </row>
    <row r="33" spans="2:24" ht="17.399999999999999" x14ac:dyDescent="0.3">
      <c r="B33" t="str">
        <f t="shared" si="0"/>
        <v/>
      </c>
      <c r="V33" s="5"/>
      <c r="W33" s="1"/>
      <c r="X33" s="1"/>
    </row>
    <row r="34" spans="2:24" ht="17.399999999999999" x14ac:dyDescent="0.3">
      <c r="B34" t="str">
        <f t="shared" si="0"/>
        <v/>
      </c>
      <c r="V34" s="5"/>
      <c r="W34" s="1"/>
      <c r="X34" s="1"/>
    </row>
    <row r="35" spans="2:24" ht="17.399999999999999" x14ac:dyDescent="0.3">
      <c r="B35" t="str">
        <f t="shared" si="0"/>
        <v/>
      </c>
      <c r="V35" s="5"/>
      <c r="W35" s="1"/>
      <c r="X35" s="1"/>
    </row>
    <row r="36" spans="2:24" ht="17.399999999999999" x14ac:dyDescent="0.3">
      <c r="B36" t="str">
        <f t="shared" si="0"/>
        <v/>
      </c>
      <c r="V36" s="5"/>
      <c r="W36" s="1"/>
      <c r="X36" s="1"/>
    </row>
    <row r="37" spans="2:24" ht="17.399999999999999" x14ac:dyDescent="0.3">
      <c r="B37" t="str">
        <f t="shared" si="0"/>
        <v/>
      </c>
      <c r="V37" s="5"/>
      <c r="W37" s="1"/>
      <c r="X37" s="1"/>
    </row>
    <row r="38" spans="2:24" ht="17.399999999999999" x14ac:dyDescent="0.3">
      <c r="B38" t="str">
        <f t="shared" si="0"/>
        <v/>
      </c>
      <c r="V38" s="5"/>
      <c r="W38" s="1"/>
      <c r="X38" s="1"/>
    </row>
    <row r="39" spans="2:24" ht="17.399999999999999" x14ac:dyDescent="0.3">
      <c r="B39" t="str">
        <f t="shared" si="0"/>
        <v/>
      </c>
      <c r="V39" s="5"/>
      <c r="W39" s="1"/>
      <c r="X39" s="1"/>
    </row>
    <row r="40" spans="2:24" ht="17.399999999999999" x14ac:dyDescent="0.3">
      <c r="B40" t="str">
        <f t="shared" si="0"/>
        <v/>
      </c>
      <c r="V40" s="5"/>
      <c r="W40" s="1"/>
      <c r="X40" s="1"/>
    </row>
    <row r="41" spans="2:24" ht="17.399999999999999" x14ac:dyDescent="0.3">
      <c r="B41" t="str">
        <f t="shared" si="0"/>
        <v/>
      </c>
      <c r="V41" s="5"/>
      <c r="W41" s="1"/>
      <c r="X41" s="1"/>
    </row>
    <row r="42" spans="2:24" ht="17.399999999999999" x14ac:dyDescent="0.3">
      <c r="B42" t="str">
        <f t="shared" si="0"/>
        <v/>
      </c>
      <c r="V42" s="6"/>
      <c r="W42" s="1"/>
      <c r="X42" s="1"/>
    </row>
    <row r="43" spans="2:24" ht="18" x14ac:dyDescent="0.35">
      <c r="B43" t="str">
        <f t="shared" si="0"/>
        <v/>
      </c>
      <c r="V43" s="7"/>
      <c r="W43" s="2"/>
      <c r="X43" s="2"/>
    </row>
    <row r="44" spans="2:24" x14ac:dyDescent="0.25">
      <c r="B44" t="str">
        <f t="shared" si="0"/>
        <v/>
      </c>
    </row>
    <row r="45" spans="2:24" x14ac:dyDescent="0.25">
      <c r="B45" t="str">
        <f t="shared" si="0"/>
        <v/>
      </c>
    </row>
    <row r="46" spans="2:24" x14ac:dyDescent="0.25">
      <c r="B46" t="str">
        <f t="shared" si="0"/>
        <v/>
      </c>
    </row>
    <row r="47" spans="2:24" x14ac:dyDescent="0.25">
      <c r="B47" t="str">
        <f t="shared" si="0"/>
        <v/>
      </c>
    </row>
    <row r="48" spans="2:24" x14ac:dyDescent="0.25">
      <c r="B48" t="str">
        <f t="shared" si="0"/>
        <v/>
      </c>
    </row>
    <row r="49" spans="2:2" x14ac:dyDescent="0.25">
      <c r="B49" t="str">
        <f t="shared" si="0"/>
        <v/>
      </c>
    </row>
    <row r="50" spans="2:2" x14ac:dyDescent="0.25">
      <c r="B50" t="str">
        <f t="shared" si="0"/>
        <v/>
      </c>
    </row>
  </sheetData>
  <pageMargins left="0.75" right="0.75" top="1" bottom="1" header="0.5" footer="0.5"/>
  <pageSetup paperSize="9" scale="67" orientation="landscape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S50"/>
  <sheetViews>
    <sheetView zoomScaleNormal="100" workbookViewId="0"/>
  </sheetViews>
  <sheetFormatPr defaultColWidth="9.109375" defaultRowHeight="13.2" x14ac:dyDescent="0.25"/>
  <cols>
    <col min="1" max="1" width="29" customWidth="1"/>
    <col min="2" max="2" width="11" bestFit="1" customWidth="1"/>
    <col min="3" max="4" width="11.44140625" bestFit="1" customWidth="1"/>
    <col min="5" max="10" width="11.44140625" customWidth="1"/>
    <col min="11" max="13" width="11" customWidth="1"/>
    <col min="14" max="19" width="10.77734375" customWidth="1"/>
  </cols>
  <sheetData>
    <row r="1" spans="1:19" ht="13.8" thickBot="1" x14ac:dyDescent="0.3">
      <c r="A1" s="36" t="s">
        <v>91</v>
      </c>
      <c r="B1" s="20" t="s">
        <v>182</v>
      </c>
      <c r="C1" s="46" t="s">
        <v>183</v>
      </c>
      <c r="D1" s="79" t="s">
        <v>180</v>
      </c>
      <c r="E1" s="127">
        <v>45658</v>
      </c>
      <c r="F1" s="82">
        <v>45292</v>
      </c>
      <c r="G1" s="82">
        <v>44927</v>
      </c>
      <c r="H1" s="82">
        <v>44562</v>
      </c>
      <c r="I1" s="82">
        <v>44197</v>
      </c>
      <c r="J1" s="82">
        <v>43831</v>
      </c>
      <c r="K1" s="82">
        <v>43466</v>
      </c>
      <c r="L1" s="82">
        <v>43101</v>
      </c>
      <c r="M1" s="21">
        <v>42736</v>
      </c>
      <c r="N1" s="21">
        <v>42370</v>
      </c>
      <c r="O1" s="21">
        <v>42005</v>
      </c>
      <c r="P1" s="21">
        <v>41640</v>
      </c>
      <c r="Q1" s="21">
        <v>41275</v>
      </c>
      <c r="R1" s="21">
        <v>40909</v>
      </c>
      <c r="S1" s="22">
        <v>40544</v>
      </c>
    </row>
    <row r="2" spans="1:19" x14ac:dyDescent="0.25">
      <c r="A2" s="37" t="s">
        <v>9</v>
      </c>
      <c r="B2" s="44" t="str">
        <f>IFERROR((E2/F2-1), "")</f>
        <v/>
      </c>
      <c r="C2" s="47"/>
      <c r="D2" s="1"/>
      <c r="E2" s="109"/>
      <c r="F2" s="1"/>
      <c r="G2" s="1"/>
      <c r="H2" s="1"/>
      <c r="I2" s="1"/>
      <c r="J2" s="1"/>
      <c r="K2" s="1"/>
      <c r="L2" s="1"/>
      <c r="M2" s="35"/>
      <c r="N2" s="35"/>
      <c r="O2" s="35"/>
      <c r="P2" s="35"/>
      <c r="Q2" s="35"/>
      <c r="R2" s="35"/>
      <c r="S2" s="65"/>
    </row>
    <row r="3" spans="1:19" x14ac:dyDescent="0.25">
      <c r="A3" s="37" t="s">
        <v>150</v>
      </c>
      <c r="B3" s="44" t="str">
        <f t="shared" ref="B3:B50" si="0">IFERROR((E3/F3-1), "")</f>
        <v/>
      </c>
      <c r="C3" s="47"/>
      <c r="D3" s="1"/>
      <c r="E3" s="109"/>
      <c r="F3" s="1"/>
      <c r="G3" s="1"/>
      <c r="H3" s="1"/>
      <c r="I3" s="1"/>
      <c r="J3" s="1"/>
      <c r="K3" s="1"/>
      <c r="L3" s="1"/>
      <c r="M3" s="35"/>
      <c r="N3" s="35"/>
      <c r="O3" s="35"/>
      <c r="P3" s="35"/>
      <c r="Q3" s="35"/>
      <c r="R3" s="35"/>
      <c r="S3" s="65"/>
    </row>
    <row r="4" spans="1:19" x14ac:dyDescent="0.25">
      <c r="A4" s="37" t="s">
        <v>27</v>
      </c>
      <c r="B4" s="44" t="str">
        <f t="shared" si="0"/>
        <v/>
      </c>
      <c r="C4" s="47"/>
      <c r="D4" s="1"/>
      <c r="E4" s="109"/>
      <c r="F4" s="1"/>
      <c r="G4" s="1"/>
      <c r="H4" s="1"/>
      <c r="I4" s="1"/>
      <c r="J4" s="1"/>
      <c r="K4" s="1"/>
      <c r="L4" s="1"/>
      <c r="M4" s="35"/>
      <c r="N4" s="35"/>
      <c r="O4" s="35"/>
      <c r="P4" s="35"/>
      <c r="Q4" s="35"/>
      <c r="R4" s="35"/>
      <c r="S4" s="65"/>
    </row>
    <row r="5" spans="1:19" x14ac:dyDescent="0.25">
      <c r="A5" s="37" t="s">
        <v>26</v>
      </c>
      <c r="B5" s="44" t="str">
        <f t="shared" si="0"/>
        <v/>
      </c>
      <c r="C5" s="47"/>
      <c r="D5" s="1"/>
      <c r="E5" s="109"/>
      <c r="F5" s="1"/>
      <c r="G5" s="1"/>
      <c r="H5" s="1"/>
      <c r="I5" s="1"/>
      <c r="J5" s="1"/>
      <c r="K5" s="1"/>
      <c r="L5" s="1"/>
      <c r="M5" s="35"/>
      <c r="N5" s="35"/>
      <c r="O5" s="35"/>
      <c r="P5" s="35"/>
      <c r="Q5" s="35"/>
      <c r="R5" s="35"/>
      <c r="S5" s="65"/>
    </row>
    <row r="6" spans="1:19" x14ac:dyDescent="0.25">
      <c r="A6" s="37" t="s">
        <v>19</v>
      </c>
      <c r="B6" s="44" t="str">
        <f t="shared" si="0"/>
        <v/>
      </c>
      <c r="C6" s="47"/>
      <c r="D6" s="1"/>
      <c r="E6" s="109"/>
      <c r="F6" s="1"/>
      <c r="G6" s="1"/>
      <c r="H6" s="1"/>
      <c r="I6" s="1"/>
      <c r="J6" s="1"/>
      <c r="K6" s="1"/>
      <c r="L6" s="1"/>
      <c r="M6" s="35"/>
      <c r="N6" s="35"/>
      <c r="O6" s="35"/>
      <c r="P6" s="35"/>
      <c r="Q6" s="35"/>
      <c r="R6" s="35"/>
      <c r="S6" s="65"/>
    </row>
    <row r="7" spans="1:19" x14ac:dyDescent="0.25">
      <c r="A7" s="37" t="s">
        <v>88</v>
      </c>
      <c r="B7" s="44" t="str">
        <f t="shared" si="0"/>
        <v/>
      </c>
      <c r="C7" s="47"/>
      <c r="D7" s="1"/>
      <c r="E7" s="109"/>
      <c r="F7" s="1"/>
      <c r="G7" s="1"/>
      <c r="H7" s="1"/>
      <c r="I7" s="1"/>
      <c r="J7" s="1"/>
      <c r="K7" s="1"/>
      <c r="L7" s="1"/>
      <c r="M7" s="35"/>
      <c r="N7" s="35"/>
      <c r="O7" s="35"/>
      <c r="P7" s="35"/>
      <c r="Q7" s="35"/>
      <c r="R7" s="35"/>
      <c r="S7" s="65"/>
    </row>
    <row r="8" spans="1:19" ht="13.8" thickBot="1" x14ac:dyDescent="0.3">
      <c r="A8" s="38" t="s">
        <v>6</v>
      </c>
      <c r="B8" s="45" t="str">
        <f t="shared" si="0"/>
        <v/>
      </c>
      <c r="C8" s="47"/>
      <c r="D8" s="1"/>
      <c r="E8" s="109"/>
      <c r="F8" s="1"/>
      <c r="G8" s="1"/>
      <c r="H8" s="1"/>
      <c r="I8" s="1"/>
      <c r="J8" s="1"/>
      <c r="K8" s="1"/>
      <c r="L8" s="1"/>
      <c r="M8" s="34"/>
      <c r="N8" s="35"/>
      <c r="O8" s="35"/>
      <c r="P8" s="35"/>
      <c r="Q8" s="35"/>
      <c r="R8" s="35"/>
      <c r="S8" s="65"/>
    </row>
    <row r="9" spans="1:19" ht="13.8" thickBot="1" x14ac:dyDescent="0.3">
      <c r="A9" s="39" t="s">
        <v>92</v>
      </c>
      <c r="B9" s="78" t="str">
        <f t="shared" si="0"/>
        <v/>
      </c>
      <c r="C9" s="107"/>
      <c r="D9" s="108"/>
      <c r="E9" s="133"/>
      <c r="F9" s="108"/>
      <c r="G9" s="108"/>
      <c r="H9" s="108"/>
      <c r="I9" s="108"/>
      <c r="J9" s="108"/>
      <c r="K9" s="108"/>
      <c r="L9" s="108"/>
      <c r="M9" s="43"/>
      <c r="N9" s="43"/>
      <c r="O9" s="43"/>
      <c r="P9" s="43"/>
      <c r="Q9" s="43"/>
      <c r="R9" s="43"/>
      <c r="S9" s="96"/>
    </row>
    <row r="10" spans="1:19" x14ac:dyDescent="0.25">
      <c r="B10" t="str">
        <f t="shared" si="0"/>
        <v/>
      </c>
    </row>
    <row r="11" spans="1:19" ht="13.8" thickBot="1" x14ac:dyDescent="0.3">
      <c r="B11" s="3" t="str">
        <f t="shared" si="0"/>
        <v/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</row>
    <row r="12" spans="1:19" ht="13.8" thickBot="1" x14ac:dyDescent="0.3">
      <c r="A12" s="51" t="s">
        <v>91</v>
      </c>
      <c r="B12" s="20" t="s">
        <v>182</v>
      </c>
      <c r="C12" s="46" t="s">
        <v>183</v>
      </c>
      <c r="D12" s="79" t="s">
        <v>180</v>
      </c>
      <c r="E12" s="127">
        <v>45658</v>
      </c>
      <c r="F12" s="82">
        <v>45292</v>
      </c>
      <c r="G12" s="82">
        <v>44927</v>
      </c>
      <c r="H12" s="82">
        <v>44562</v>
      </c>
      <c r="I12" s="82">
        <v>44197</v>
      </c>
      <c r="J12" s="82">
        <v>43831</v>
      </c>
      <c r="K12" s="82">
        <v>43466</v>
      </c>
      <c r="L12" s="21">
        <v>43101</v>
      </c>
      <c r="M12" s="21">
        <v>42736</v>
      </c>
      <c r="N12" s="21">
        <f>N1</f>
        <v>42370</v>
      </c>
      <c r="O12" s="21">
        <f>O1</f>
        <v>42005</v>
      </c>
      <c r="P12" s="21">
        <v>41640</v>
      </c>
      <c r="Q12" s="21">
        <v>41275</v>
      </c>
      <c r="R12" s="21">
        <v>40909</v>
      </c>
      <c r="S12" s="22">
        <v>40544</v>
      </c>
    </row>
    <row r="13" spans="1:19" ht="13.8" thickBot="1" x14ac:dyDescent="0.3">
      <c r="A13" s="53" t="s">
        <v>151</v>
      </c>
      <c r="B13" s="54">
        <f t="shared" si="0"/>
        <v>0.19713365353085277</v>
      </c>
      <c r="C13" s="47">
        <f>E13-[2]Portugal!$C$13</f>
        <v>-21500</v>
      </c>
      <c r="D13" s="1">
        <f>F13-[2]Portugal!$D$13</f>
        <v>-25042</v>
      </c>
      <c r="E13" s="109">
        <v>62063</v>
      </c>
      <c r="F13" s="1">
        <v>51843</v>
      </c>
      <c r="G13" s="1">
        <v>55279.964223139912</v>
      </c>
      <c r="H13" s="1">
        <v>127647</v>
      </c>
      <c r="I13" s="1">
        <v>52487</v>
      </c>
      <c r="J13" s="1">
        <v>86608</v>
      </c>
      <c r="K13" s="108">
        <v>75996</v>
      </c>
      <c r="L13" s="108">
        <v>71475</v>
      </c>
      <c r="M13" s="56">
        <v>59851</v>
      </c>
      <c r="N13" s="56">
        <v>47466</v>
      </c>
      <c r="O13" s="56">
        <v>80378</v>
      </c>
      <c r="P13" s="56">
        <v>83498</v>
      </c>
      <c r="Q13" s="56">
        <v>31792</v>
      </c>
      <c r="R13" s="56">
        <v>70946</v>
      </c>
      <c r="S13" s="70">
        <v>44175</v>
      </c>
    </row>
    <row r="14" spans="1:19" ht="13.8" thickBot="1" x14ac:dyDescent="0.3">
      <c r="A14" s="51" t="s">
        <v>92</v>
      </c>
      <c r="B14" s="62">
        <f t="shared" si="0"/>
        <v>0.19713365353085277</v>
      </c>
      <c r="C14" s="71">
        <f>E14-[2]Portugal!$D$13</f>
        <v>-14822</v>
      </c>
      <c r="D14" s="43">
        <f>F14-[2]Portugal!$D$13</f>
        <v>-25042</v>
      </c>
      <c r="E14" s="42">
        <f>SUM(E13)</f>
        <v>62063</v>
      </c>
      <c r="F14" s="43">
        <f>SUM(F13)</f>
        <v>51843</v>
      </c>
      <c r="G14" s="43">
        <f>SUM(G13)</f>
        <v>55279.964223139912</v>
      </c>
      <c r="H14" s="43">
        <v>127647</v>
      </c>
      <c r="I14" s="43">
        <v>52487</v>
      </c>
      <c r="J14" s="43">
        <f>SUM(J13)</f>
        <v>86608</v>
      </c>
      <c r="K14" s="43">
        <v>75996</v>
      </c>
      <c r="L14" s="30">
        <v>71475</v>
      </c>
      <c r="M14" s="85">
        <f>M13</f>
        <v>59851</v>
      </c>
      <c r="N14" s="85">
        <v>47466</v>
      </c>
      <c r="O14" s="85">
        <v>80378</v>
      </c>
      <c r="P14" s="85">
        <v>83498</v>
      </c>
      <c r="Q14" s="85">
        <v>31792</v>
      </c>
      <c r="R14" s="85">
        <v>70946</v>
      </c>
      <c r="S14" s="86">
        <v>44175</v>
      </c>
    </row>
    <row r="15" spans="1:19" x14ac:dyDescent="0.25">
      <c r="A15" s="3" t="s">
        <v>161</v>
      </c>
      <c r="B15" t="str">
        <f t="shared" si="0"/>
        <v/>
      </c>
    </row>
    <row r="16" spans="1:19" x14ac:dyDescent="0.25">
      <c r="B16" t="str">
        <f t="shared" si="0"/>
        <v/>
      </c>
    </row>
    <row r="17" spans="2:2" x14ac:dyDescent="0.25">
      <c r="B17" t="str">
        <f t="shared" si="0"/>
        <v/>
      </c>
    </row>
    <row r="18" spans="2:2" x14ac:dyDescent="0.25">
      <c r="B18" t="str">
        <f t="shared" si="0"/>
        <v/>
      </c>
    </row>
    <row r="19" spans="2:2" x14ac:dyDescent="0.25">
      <c r="B19" t="str">
        <f t="shared" si="0"/>
        <v/>
      </c>
    </row>
    <row r="20" spans="2:2" x14ac:dyDescent="0.25">
      <c r="B20" t="str">
        <f t="shared" si="0"/>
        <v/>
      </c>
    </row>
    <row r="21" spans="2:2" x14ac:dyDescent="0.25">
      <c r="B21" t="str">
        <f t="shared" si="0"/>
        <v/>
      </c>
    </row>
    <row r="22" spans="2:2" x14ac:dyDescent="0.25">
      <c r="B22" t="str">
        <f t="shared" si="0"/>
        <v/>
      </c>
    </row>
    <row r="23" spans="2:2" x14ac:dyDescent="0.25">
      <c r="B23" t="str">
        <f t="shared" si="0"/>
        <v/>
      </c>
    </row>
    <row r="24" spans="2:2" x14ac:dyDescent="0.25">
      <c r="B24" t="str">
        <f t="shared" si="0"/>
        <v/>
      </c>
    </row>
    <row r="25" spans="2:2" x14ac:dyDescent="0.25">
      <c r="B25" t="str">
        <f t="shared" si="0"/>
        <v/>
      </c>
    </row>
    <row r="26" spans="2:2" x14ac:dyDescent="0.25">
      <c r="B26" t="str">
        <f t="shared" si="0"/>
        <v/>
      </c>
    </row>
    <row r="27" spans="2:2" x14ac:dyDescent="0.25">
      <c r="B27" t="str">
        <f t="shared" si="0"/>
        <v/>
      </c>
    </row>
    <row r="28" spans="2:2" x14ac:dyDescent="0.25">
      <c r="B28" t="str">
        <f t="shared" si="0"/>
        <v/>
      </c>
    </row>
    <row r="29" spans="2:2" x14ac:dyDescent="0.25">
      <c r="B29" t="str">
        <f t="shared" si="0"/>
        <v/>
      </c>
    </row>
    <row r="30" spans="2:2" x14ac:dyDescent="0.25">
      <c r="B30" t="str">
        <f t="shared" si="0"/>
        <v/>
      </c>
    </row>
    <row r="31" spans="2:2" x14ac:dyDescent="0.25">
      <c r="B31" t="str">
        <f t="shared" si="0"/>
        <v/>
      </c>
    </row>
    <row r="32" spans="2:2" x14ac:dyDescent="0.25">
      <c r="B32" t="str">
        <f t="shared" si="0"/>
        <v/>
      </c>
    </row>
    <row r="33" spans="2:2" x14ac:dyDescent="0.25">
      <c r="B33" t="str">
        <f t="shared" si="0"/>
        <v/>
      </c>
    </row>
    <row r="34" spans="2:2" x14ac:dyDescent="0.25">
      <c r="B34" t="str">
        <f t="shared" si="0"/>
        <v/>
      </c>
    </row>
    <row r="35" spans="2:2" x14ac:dyDescent="0.25">
      <c r="B35" t="str">
        <f t="shared" si="0"/>
        <v/>
      </c>
    </row>
    <row r="36" spans="2:2" x14ac:dyDescent="0.25">
      <c r="B36" t="str">
        <f t="shared" si="0"/>
        <v/>
      </c>
    </row>
    <row r="37" spans="2:2" x14ac:dyDescent="0.25">
      <c r="B37" t="str">
        <f t="shared" si="0"/>
        <v/>
      </c>
    </row>
    <row r="38" spans="2:2" x14ac:dyDescent="0.25">
      <c r="B38" t="str">
        <f t="shared" si="0"/>
        <v/>
      </c>
    </row>
    <row r="39" spans="2:2" x14ac:dyDescent="0.25">
      <c r="B39" t="str">
        <f t="shared" si="0"/>
        <v/>
      </c>
    </row>
    <row r="40" spans="2:2" x14ac:dyDescent="0.25">
      <c r="B40" t="str">
        <f t="shared" si="0"/>
        <v/>
      </c>
    </row>
    <row r="41" spans="2:2" x14ac:dyDescent="0.25">
      <c r="B41" t="str">
        <f t="shared" si="0"/>
        <v/>
      </c>
    </row>
    <row r="42" spans="2:2" x14ac:dyDescent="0.25">
      <c r="B42" t="str">
        <f t="shared" si="0"/>
        <v/>
      </c>
    </row>
    <row r="43" spans="2:2" x14ac:dyDescent="0.25">
      <c r="B43" t="str">
        <f t="shared" si="0"/>
        <v/>
      </c>
    </row>
    <row r="44" spans="2:2" x14ac:dyDescent="0.25">
      <c r="B44" t="str">
        <f t="shared" si="0"/>
        <v/>
      </c>
    </row>
    <row r="45" spans="2:2" x14ac:dyDescent="0.25">
      <c r="B45" t="str">
        <f t="shared" si="0"/>
        <v/>
      </c>
    </row>
    <row r="46" spans="2:2" x14ac:dyDescent="0.25">
      <c r="B46" t="str">
        <f t="shared" si="0"/>
        <v/>
      </c>
    </row>
    <row r="47" spans="2:2" x14ac:dyDescent="0.25">
      <c r="B47" t="str">
        <f t="shared" si="0"/>
        <v/>
      </c>
    </row>
    <row r="48" spans="2:2" x14ac:dyDescent="0.25">
      <c r="B48" t="str">
        <f t="shared" si="0"/>
        <v/>
      </c>
    </row>
    <row r="49" spans="2:2" x14ac:dyDescent="0.25">
      <c r="B49" t="str">
        <f t="shared" si="0"/>
        <v/>
      </c>
    </row>
    <row r="50" spans="2:2" x14ac:dyDescent="0.25">
      <c r="B50" t="str">
        <f t="shared" si="0"/>
        <v/>
      </c>
    </row>
  </sheetData>
  <pageMargins left="0.7" right="0.7" top="0.75" bottom="0.75" header="0.3" footer="0.3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Q50"/>
  <sheetViews>
    <sheetView workbookViewId="0"/>
  </sheetViews>
  <sheetFormatPr defaultColWidth="9.109375" defaultRowHeight="13.2" x14ac:dyDescent="0.25"/>
  <cols>
    <col min="1" max="1" width="29.33203125" style="50" customWidth="1"/>
    <col min="2" max="2" width="10.6640625" style="50" customWidth="1"/>
    <col min="3" max="3" width="11.44140625" style="50" bestFit="1" customWidth="1"/>
    <col min="4" max="4" width="11.77734375" style="50" bestFit="1" customWidth="1"/>
    <col min="5" max="9" width="11.77734375" style="50" customWidth="1"/>
    <col min="10" max="10" width="11.44140625" style="50" bestFit="1" customWidth="1"/>
    <col min="11" max="11" width="11.44140625" style="50" customWidth="1"/>
    <col min="12" max="13" width="10.109375" style="50" bestFit="1" customWidth="1"/>
    <col min="14" max="16384" width="9.109375" style="50"/>
  </cols>
  <sheetData>
    <row r="1" spans="1:17" ht="13.8" thickBot="1" x14ac:dyDescent="0.3">
      <c r="A1" s="51" t="s">
        <v>91</v>
      </c>
      <c r="B1" s="20" t="s">
        <v>182</v>
      </c>
      <c r="C1" s="46" t="s">
        <v>183</v>
      </c>
      <c r="D1" s="79" t="s">
        <v>180</v>
      </c>
      <c r="E1" s="127">
        <v>45658</v>
      </c>
      <c r="F1" s="21">
        <v>44927</v>
      </c>
      <c r="G1" s="21">
        <v>44531</v>
      </c>
      <c r="H1" s="21">
        <v>44166</v>
      </c>
      <c r="I1" s="21">
        <v>43800</v>
      </c>
      <c r="J1" s="21">
        <v>43435</v>
      </c>
      <c r="K1" s="21">
        <v>43070</v>
      </c>
      <c r="L1" s="21">
        <v>42705</v>
      </c>
      <c r="M1" s="67">
        <v>42339</v>
      </c>
    </row>
    <row r="2" spans="1:17" x14ac:dyDescent="0.25">
      <c r="A2" s="37" t="s">
        <v>11</v>
      </c>
      <c r="B2" s="140" t="str">
        <f>IFERROR((E2/F2-1), "")</f>
        <v/>
      </c>
      <c r="C2" s="144"/>
      <c r="D2" s="56"/>
      <c r="E2" s="55"/>
      <c r="F2" s="56"/>
      <c r="G2" s="56">
        <v>947.46799999999996</v>
      </c>
      <c r="H2" s="56"/>
      <c r="I2" s="56"/>
      <c r="J2" s="56"/>
      <c r="K2" s="56"/>
      <c r="L2" s="56"/>
      <c r="M2" s="68"/>
    </row>
    <row r="3" spans="1:17" x14ac:dyDescent="0.25">
      <c r="A3" s="37" t="s">
        <v>61</v>
      </c>
      <c r="B3" s="140" t="str">
        <f t="shared" ref="B3:B50" si="0">IFERROR((E3/F3-1), "")</f>
        <v/>
      </c>
      <c r="C3" s="144"/>
      <c r="D3" s="56"/>
      <c r="E3" s="55"/>
      <c r="F3" s="56"/>
      <c r="G3" s="56"/>
      <c r="H3" s="56"/>
      <c r="I3" s="56"/>
      <c r="J3" s="56"/>
      <c r="K3" s="56"/>
      <c r="L3" s="56"/>
      <c r="M3" s="68"/>
      <c r="N3" s="56"/>
      <c r="O3" s="56"/>
      <c r="P3" s="56"/>
      <c r="Q3" s="56"/>
    </row>
    <row r="4" spans="1:17" x14ac:dyDescent="0.25">
      <c r="A4" s="37" t="s">
        <v>12</v>
      </c>
      <c r="B4" s="140" t="str">
        <f t="shared" si="0"/>
        <v/>
      </c>
      <c r="C4" s="144"/>
      <c r="D4" s="56"/>
      <c r="E4" s="55"/>
      <c r="F4" s="56"/>
      <c r="G4" s="56">
        <v>280.02999999999997</v>
      </c>
      <c r="H4" s="56"/>
      <c r="I4" s="56"/>
      <c r="J4" s="56"/>
      <c r="K4" s="56"/>
      <c r="L4" s="56"/>
      <c r="M4" s="68"/>
      <c r="N4" s="56"/>
      <c r="O4" s="56"/>
      <c r="P4" s="56"/>
      <c r="Q4" s="56"/>
    </row>
    <row r="5" spans="1:17" x14ac:dyDescent="0.25">
      <c r="A5" s="37" t="s">
        <v>9</v>
      </c>
      <c r="B5" s="140" t="str">
        <f t="shared" si="0"/>
        <v/>
      </c>
      <c r="C5" s="144"/>
      <c r="D5" s="56"/>
      <c r="E5" s="55"/>
      <c r="F5" s="56"/>
      <c r="G5" s="56">
        <v>1857.44</v>
      </c>
      <c r="H5" s="56"/>
      <c r="I5" s="56"/>
      <c r="J5" s="56"/>
      <c r="K5" s="56"/>
      <c r="L5" s="56"/>
      <c r="M5" s="68"/>
    </row>
    <row r="6" spans="1:17" x14ac:dyDescent="0.25">
      <c r="A6" s="37" t="s">
        <v>3</v>
      </c>
      <c r="B6" s="140" t="str">
        <f t="shared" si="0"/>
        <v/>
      </c>
      <c r="C6" s="144"/>
      <c r="D6" s="56"/>
      <c r="E6" s="55"/>
      <c r="F6" s="56"/>
      <c r="G6" s="56">
        <v>2318.3130000000001</v>
      </c>
      <c r="H6" s="56"/>
      <c r="I6" s="56"/>
      <c r="J6" s="56"/>
      <c r="K6" s="56"/>
      <c r="L6" s="56"/>
      <c r="M6" s="68"/>
    </row>
    <row r="7" spans="1:17" x14ac:dyDescent="0.25">
      <c r="A7" s="37" t="s">
        <v>10</v>
      </c>
      <c r="B7" s="140" t="str">
        <f t="shared" si="0"/>
        <v/>
      </c>
      <c r="C7" s="144"/>
      <c r="D7" s="56"/>
      <c r="E7" s="55"/>
      <c r="F7" s="56"/>
      <c r="G7" s="56">
        <v>680.41700000000003</v>
      </c>
      <c r="H7" s="56"/>
      <c r="I7" s="56"/>
      <c r="J7" s="56"/>
      <c r="K7" s="56"/>
      <c r="L7" s="56"/>
      <c r="M7" s="68"/>
    </row>
    <row r="8" spans="1:17" x14ac:dyDescent="0.25">
      <c r="A8" s="37" t="s">
        <v>27</v>
      </c>
      <c r="B8" s="140" t="str">
        <f t="shared" si="0"/>
        <v/>
      </c>
      <c r="C8" s="144"/>
      <c r="D8" s="56"/>
      <c r="E8" s="55"/>
      <c r="F8" s="56"/>
      <c r="G8" s="56">
        <v>454.70299999999997</v>
      </c>
      <c r="H8" s="56"/>
      <c r="I8" s="56"/>
      <c r="J8" s="56"/>
      <c r="K8" s="56"/>
      <c r="L8" s="56"/>
      <c r="M8" s="68"/>
    </row>
    <row r="9" spans="1:17" x14ac:dyDescent="0.25">
      <c r="A9" s="37" t="s">
        <v>13</v>
      </c>
      <c r="B9" s="140" t="str">
        <f t="shared" si="0"/>
        <v/>
      </c>
      <c r="C9" s="144"/>
      <c r="D9" s="56"/>
      <c r="E9" s="55"/>
      <c r="F9" s="56"/>
      <c r="G9" s="56">
        <v>1124.76</v>
      </c>
      <c r="H9" s="56"/>
      <c r="I9" s="56"/>
      <c r="J9" s="145"/>
      <c r="K9" s="145"/>
      <c r="L9" s="56"/>
      <c r="M9" s="146"/>
    </row>
    <row r="10" spans="1:17" ht="13.8" thickBot="1" x14ac:dyDescent="0.3">
      <c r="A10" s="37" t="s">
        <v>6</v>
      </c>
      <c r="B10" s="140" t="str">
        <f t="shared" si="0"/>
        <v/>
      </c>
      <c r="C10" s="144"/>
      <c r="D10" s="56"/>
      <c r="E10" s="55"/>
      <c r="F10" s="56"/>
      <c r="G10" s="56">
        <f>76.7+77.23+194.47</f>
        <v>348.4</v>
      </c>
      <c r="H10" s="56"/>
      <c r="I10" s="56"/>
      <c r="J10" s="145"/>
      <c r="K10" s="145"/>
      <c r="L10" s="56"/>
      <c r="M10" s="146"/>
    </row>
    <row r="11" spans="1:17" ht="13.8" thickBot="1" x14ac:dyDescent="0.3">
      <c r="A11" s="51" t="s">
        <v>92</v>
      </c>
      <c r="B11" s="62" t="str">
        <f t="shared" si="0"/>
        <v/>
      </c>
      <c r="C11" s="147"/>
      <c r="D11" s="85"/>
      <c r="E11" s="63"/>
      <c r="F11" s="85"/>
      <c r="G11" s="85">
        <f>SUM(G2:G10)</f>
        <v>8011.5310000000009</v>
      </c>
      <c r="H11" s="85"/>
      <c r="I11" s="85"/>
      <c r="J11" s="85"/>
      <c r="K11" s="85"/>
      <c r="L11" s="85"/>
      <c r="M11" s="86"/>
    </row>
    <row r="12" spans="1:17" x14ac:dyDescent="0.25">
      <c r="B12" s="148" t="str">
        <f t="shared" si="0"/>
        <v/>
      </c>
      <c r="C12" s="148"/>
      <c r="D12" s="148"/>
      <c r="E12" s="148"/>
      <c r="F12" s="148"/>
      <c r="G12" s="148"/>
      <c r="H12" s="148"/>
      <c r="I12" s="148"/>
      <c r="L12" s="148"/>
    </row>
    <row r="13" spans="1:17" ht="13.8" thickBot="1" x14ac:dyDescent="0.3">
      <c r="B13" s="148" t="str">
        <f t="shared" si="0"/>
        <v/>
      </c>
      <c r="C13" s="148"/>
      <c r="D13" s="148"/>
      <c r="E13" s="148"/>
      <c r="F13" s="148"/>
      <c r="G13" s="148"/>
      <c r="H13" s="148"/>
      <c r="I13" s="148"/>
      <c r="L13" s="148"/>
    </row>
    <row r="14" spans="1:17" ht="13.8" thickBot="1" x14ac:dyDescent="0.3">
      <c r="A14" s="51" t="s">
        <v>91</v>
      </c>
      <c r="B14" s="20" t="s">
        <v>182</v>
      </c>
      <c r="C14" s="46" t="s">
        <v>183</v>
      </c>
      <c r="D14" s="79" t="s">
        <v>180</v>
      </c>
      <c r="E14" s="127">
        <v>45658</v>
      </c>
      <c r="F14" s="21">
        <v>44927</v>
      </c>
      <c r="G14" s="21">
        <v>44531</v>
      </c>
      <c r="H14" s="21">
        <v>44166</v>
      </c>
      <c r="I14" s="21">
        <v>43800</v>
      </c>
      <c r="J14" s="21">
        <v>43435</v>
      </c>
      <c r="K14" s="21">
        <v>43070</v>
      </c>
      <c r="L14" s="21">
        <v>42705</v>
      </c>
      <c r="M14" s="67">
        <v>42339</v>
      </c>
    </row>
    <row r="15" spans="1:17" x14ac:dyDescent="0.25">
      <c r="A15" s="37" t="s">
        <v>7</v>
      </c>
      <c r="B15" s="140" t="str">
        <f t="shared" si="0"/>
        <v/>
      </c>
      <c r="C15" s="144"/>
      <c r="D15" s="56"/>
      <c r="E15" s="55"/>
      <c r="F15" s="56"/>
      <c r="G15" s="56"/>
      <c r="H15" s="56"/>
      <c r="I15" s="56"/>
      <c r="J15" s="56"/>
      <c r="K15" s="56"/>
      <c r="L15" s="56"/>
      <c r="M15" s="68"/>
    </row>
    <row r="16" spans="1:17" x14ac:dyDescent="0.25">
      <c r="A16" s="37" t="s">
        <v>142</v>
      </c>
      <c r="B16" s="140" t="str">
        <f t="shared" si="0"/>
        <v/>
      </c>
      <c r="C16" s="144"/>
      <c r="D16" s="56"/>
      <c r="E16" s="55"/>
      <c r="F16" s="56"/>
      <c r="G16" s="56">
        <v>0.06</v>
      </c>
      <c r="H16" s="56"/>
      <c r="I16" s="56"/>
      <c r="J16" s="56"/>
      <c r="K16" s="56"/>
      <c r="L16" s="56"/>
      <c r="M16" s="68"/>
    </row>
    <row r="17" spans="1:14" ht="13.8" thickBot="1" x14ac:dyDescent="0.3">
      <c r="A17" s="37" t="s">
        <v>6</v>
      </c>
      <c r="B17" s="140" t="str">
        <f t="shared" si="0"/>
        <v/>
      </c>
      <c r="C17" s="144"/>
      <c r="D17" s="56"/>
      <c r="E17" s="55"/>
      <c r="F17" s="56"/>
      <c r="G17" s="56">
        <v>5</v>
      </c>
      <c r="H17" s="56"/>
      <c r="I17" s="56"/>
      <c r="J17" s="56"/>
      <c r="K17" s="56"/>
      <c r="L17" s="56"/>
      <c r="M17" s="68"/>
      <c r="N17" s="149"/>
    </row>
    <row r="18" spans="1:14" ht="13.8" thickBot="1" x14ac:dyDescent="0.3">
      <c r="A18" s="19" t="s">
        <v>92</v>
      </c>
      <c r="B18" s="150" t="str">
        <f t="shared" si="0"/>
        <v/>
      </c>
      <c r="C18" s="151"/>
      <c r="D18" s="64"/>
      <c r="E18" s="152"/>
      <c r="F18" s="64"/>
      <c r="G18" s="64">
        <f>SUM(G15:G17)</f>
        <v>5.0599999999999996</v>
      </c>
      <c r="H18" s="64"/>
      <c r="I18" s="64"/>
      <c r="J18" s="64"/>
      <c r="K18" s="64"/>
      <c r="L18" s="64"/>
      <c r="M18" s="70"/>
    </row>
    <row r="19" spans="1:14" x14ac:dyDescent="0.25">
      <c r="B19" s="50" t="str">
        <f t="shared" si="0"/>
        <v/>
      </c>
    </row>
    <row r="20" spans="1:14" x14ac:dyDescent="0.25">
      <c r="B20" s="50" t="str">
        <f t="shared" si="0"/>
        <v/>
      </c>
    </row>
    <row r="21" spans="1:14" x14ac:dyDescent="0.25">
      <c r="B21" s="50" t="str">
        <f t="shared" si="0"/>
        <v/>
      </c>
    </row>
    <row r="22" spans="1:14" x14ac:dyDescent="0.25">
      <c r="B22" s="50" t="str">
        <f t="shared" si="0"/>
        <v/>
      </c>
    </row>
    <row r="23" spans="1:14" x14ac:dyDescent="0.25">
      <c r="B23" s="50" t="str">
        <f t="shared" si="0"/>
        <v/>
      </c>
    </row>
    <row r="24" spans="1:14" x14ac:dyDescent="0.25">
      <c r="B24" s="50" t="str">
        <f t="shared" si="0"/>
        <v/>
      </c>
    </row>
    <row r="25" spans="1:14" x14ac:dyDescent="0.25">
      <c r="B25" s="50" t="str">
        <f t="shared" si="0"/>
        <v/>
      </c>
    </row>
    <row r="26" spans="1:14" x14ac:dyDescent="0.25">
      <c r="B26" s="50" t="str">
        <f t="shared" si="0"/>
        <v/>
      </c>
    </row>
    <row r="27" spans="1:14" x14ac:dyDescent="0.25">
      <c r="B27" s="50" t="str">
        <f t="shared" si="0"/>
        <v/>
      </c>
    </row>
    <row r="28" spans="1:14" x14ac:dyDescent="0.25">
      <c r="B28" s="50" t="str">
        <f t="shared" si="0"/>
        <v/>
      </c>
    </row>
    <row r="29" spans="1:14" x14ac:dyDescent="0.25">
      <c r="B29" s="50" t="str">
        <f t="shared" si="0"/>
        <v/>
      </c>
    </row>
    <row r="30" spans="1:14" x14ac:dyDescent="0.25">
      <c r="B30" s="50" t="str">
        <f t="shared" si="0"/>
        <v/>
      </c>
    </row>
    <row r="31" spans="1:14" x14ac:dyDescent="0.25">
      <c r="B31" s="50" t="str">
        <f t="shared" si="0"/>
        <v/>
      </c>
    </row>
    <row r="32" spans="1:14" x14ac:dyDescent="0.25">
      <c r="B32" s="50" t="str">
        <f t="shared" si="0"/>
        <v/>
      </c>
    </row>
    <row r="33" spans="2:2" x14ac:dyDescent="0.25">
      <c r="B33" s="50" t="str">
        <f t="shared" si="0"/>
        <v/>
      </c>
    </row>
    <row r="34" spans="2:2" x14ac:dyDescent="0.25">
      <c r="B34" s="50" t="str">
        <f t="shared" si="0"/>
        <v/>
      </c>
    </row>
    <row r="35" spans="2:2" x14ac:dyDescent="0.25">
      <c r="B35" s="50" t="str">
        <f t="shared" si="0"/>
        <v/>
      </c>
    </row>
    <row r="36" spans="2:2" x14ac:dyDescent="0.25">
      <c r="B36" s="50" t="str">
        <f t="shared" si="0"/>
        <v/>
      </c>
    </row>
    <row r="37" spans="2:2" x14ac:dyDescent="0.25">
      <c r="B37" s="50" t="str">
        <f t="shared" si="0"/>
        <v/>
      </c>
    </row>
    <row r="38" spans="2:2" x14ac:dyDescent="0.25">
      <c r="B38" s="50" t="str">
        <f t="shared" si="0"/>
        <v/>
      </c>
    </row>
    <row r="39" spans="2:2" x14ac:dyDescent="0.25">
      <c r="B39" s="50" t="str">
        <f t="shared" si="0"/>
        <v/>
      </c>
    </row>
    <row r="40" spans="2:2" x14ac:dyDescent="0.25">
      <c r="B40" s="50" t="str">
        <f t="shared" si="0"/>
        <v/>
      </c>
    </row>
    <row r="41" spans="2:2" x14ac:dyDescent="0.25">
      <c r="B41" s="50" t="str">
        <f t="shared" si="0"/>
        <v/>
      </c>
    </row>
    <row r="42" spans="2:2" x14ac:dyDescent="0.25">
      <c r="B42" s="50" t="str">
        <f t="shared" si="0"/>
        <v/>
      </c>
    </row>
    <row r="43" spans="2:2" x14ac:dyDescent="0.25">
      <c r="B43" s="50" t="str">
        <f t="shared" si="0"/>
        <v/>
      </c>
    </row>
    <row r="44" spans="2:2" x14ac:dyDescent="0.25">
      <c r="B44" s="50" t="str">
        <f t="shared" si="0"/>
        <v/>
      </c>
    </row>
    <row r="45" spans="2:2" x14ac:dyDescent="0.25">
      <c r="B45" s="50" t="str">
        <f t="shared" si="0"/>
        <v/>
      </c>
    </row>
    <row r="46" spans="2:2" x14ac:dyDescent="0.25">
      <c r="B46" s="50" t="str">
        <f t="shared" si="0"/>
        <v/>
      </c>
    </row>
    <row r="47" spans="2:2" x14ac:dyDescent="0.25">
      <c r="B47" s="50" t="str">
        <f t="shared" si="0"/>
        <v/>
      </c>
    </row>
    <row r="48" spans="2:2" x14ac:dyDescent="0.25">
      <c r="B48" s="50" t="str">
        <f t="shared" si="0"/>
        <v/>
      </c>
    </row>
    <row r="49" spans="2:2" x14ac:dyDescent="0.25">
      <c r="B49" s="50" t="str">
        <f t="shared" si="0"/>
        <v/>
      </c>
    </row>
    <row r="50" spans="2:2" x14ac:dyDescent="0.25">
      <c r="B50" s="50" t="str">
        <f t="shared" si="0"/>
        <v/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X50"/>
  <sheetViews>
    <sheetView zoomScaleNormal="100" workbookViewId="0"/>
  </sheetViews>
  <sheetFormatPr defaultColWidth="9.109375" defaultRowHeight="13.2" x14ac:dyDescent="0.25"/>
  <cols>
    <col min="1" max="1" width="29.33203125" customWidth="1"/>
    <col min="2" max="2" width="10.6640625" customWidth="1"/>
    <col min="3" max="3" width="11.44140625" customWidth="1"/>
    <col min="4" max="12" width="11.77734375" customWidth="1"/>
    <col min="13" max="23" width="10.109375" bestFit="1" customWidth="1"/>
  </cols>
  <sheetData>
    <row r="1" spans="1:23" ht="13.8" thickBot="1" x14ac:dyDescent="0.3">
      <c r="A1" s="19" t="s">
        <v>24</v>
      </c>
      <c r="B1" s="20" t="s">
        <v>182</v>
      </c>
      <c r="C1" s="46" t="s">
        <v>183</v>
      </c>
      <c r="D1" s="79" t="s">
        <v>180</v>
      </c>
      <c r="E1" s="127">
        <v>45658</v>
      </c>
      <c r="F1" s="82">
        <v>45292</v>
      </c>
      <c r="G1" s="82">
        <v>44927</v>
      </c>
      <c r="H1" s="82">
        <v>44562</v>
      </c>
      <c r="I1" s="82">
        <v>44197</v>
      </c>
      <c r="J1" s="82">
        <v>43831</v>
      </c>
      <c r="K1" s="82">
        <v>43466</v>
      </c>
      <c r="L1" s="21">
        <v>43101</v>
      </c>
      <c r="M1" s="21">
        <v>42736</v>
      </c>
      <c r="N1" s="21">
        <v>42370</v>
      </c>
      <c r="O1" s="21">
        <v>42005</v>
      </c>
      <c r="P1" s="21">
        <v>41640</v>
      </c>
      <c r="Q1" s="21">
        <v>41275</v>
      </c>
      <c r="R1" s="21">
        <v>40909</v>
      </c>
      <c r="S1" s="21">
        <v>40544</v>
      </c>
      <c r="T1" s="21">
        <v>40179</v>
      </c>
      <c r="U1" s="21">
        <v>39814</v>
      </c>
      <c r="V1" s="21">
        <v>39448</v>
      </c>
      <c r="W1" s="22">
        <v>39083</v>
      </c>
    </row>
    <row r="2" spans="1:23" x14ac:dyDescent="0.25">
      <c r="A2" s="16" t="s">
        <v>108</v>
      </c>
      <c r="B2" s="23">
        <f>IFERROR((E2/F2-1), "")</f>
        <v>0.28675590630452041</v>
      </c>
      <c r="C2" s="47">
        <f>E2-[1]Spain!E2</f>
        <v>-3701.2727901841463</v>
      </c>
      <c r="D2" s="1">
        <f>F2-[1]Spain!F2</f>
        <v>-2010.5794683229924</v>
      </c>
      <c r="E2" s="109">
        <v>20326.018207194931</v>
      </c>
      <c r="F2" s="1">
        <v>15796.327887524478</v>
      </c>
      <c r="G2" s="1">
        <v>17761.356641732469</v>
      </c>
      <c r="H2" s="1">
        <v>18874.049547219416</v>
      </c>
      <c r="I2" s="1">
        <v>17920.486855677664</v>
      </c>
      <c r="J2" s="1">
        <v>24352.505672091902</v>
      </c>
      <c r="K2" s="1">
        <v>24479.818611964278</v>
      </c>
      <c r="L2" s="1">
        <v>17219</v>
      </c>
      <c r="M2" s="1">
        <v>21947.893571967805</v>
      </c>
      <c r="N2" s="1">
        <v>17995.558718809927</v>
      </c>
      <c r="O2" s="1">
        <v>15970.371276762817</v>
      </c>
      <c r="P2" s="1">
        <v>17243.170744643881</v>
      </c>
      <c r="Q2" s="1">
        <v>9140.2805866063027</v>
      </c>
      <c r="R2" s="1">
        <v>13553</v>
      </c>
      <c r="S2" s="1">
        <v>13927</v>
      </c>
      <c r="T2" s="1">
        <v>11435</v>
      </c>
      <c r="U2" s="1">
        <v>14269</v>
      </c>
      <c r="V2" s="1">
        <v>15327</v>
      </c>
      <c r="W2" s="25">
        <v>7059</v>
      </c>
    </row>
    <row r="3" spans="1:23" x14ac:dyDescent="0.25">
      <c r="A3" s="16" t="s">
        <v>109</v>
      </c>
      <c r="B3" s="23">
        <f t="shared" ref="B3:B50" si="0">IFERROR((E3/F3-1), "")</f>
        <v>-0.13414534117949639</v>
      </c>
      <c r="C3" s="47">
        <f>E3-[1]Spain!E3</f>
        <v>-4390.0888674364724</v>
      </c>
      <c r="D3" s="1">
        <f>F3-[1]Spain!F3</f>
        <v>-4078.6033673416205</v>
      </c>
      <c r="E3" s="109">
        <v>7489.6860125168805</v>
      </c>
      <c r="F3" s="1">
        <v>8650.0499087451735</v>
      </c>
      <c r="G3" s="1">
        <v>10699.770611816894</v>
      </c>
      <c r="H3" s="1">
        <v>15904.476047126569</v>
      </c>
      <c r="I3" s="1">
        <v>12571.427129107309</v>
      </c>
      <c r="J3" s="1">
        <v>14866.270950203612</v>
      </c>
      <c r="K3" s="1">
        <v>11284.314900738967</v>
      </c>
      <c r="L3" s="1">
        <v>9346</v>
      </c>
      <c r="M3" s="1">
        <v>12880.199243041181</v>
      </c>
      <c r="N3" s="1">
        <v>7620.8780762636525</v>
      </c>
      <c r="O3" s="1">
        <v>8856.0411093495659</v>
      </c>
      <c r="P3" s="1">
        <v>5288.5575972339848</v>
      </c>
      <c r="Q3" s="1">
        <v>3951.0145565258013</v>
      </c>
      <c r="R3" s="1">
        <v>7129</v>
      </c>
      <c r="S3" s="1">
        <v>8062</v>
      </c>
      <c r="T3" s="1">
        <v>6065</v>
      </c>
      <c r="U3" s="1">
        <v>8903</v>
      </c>
      <c r="V3" s="1">
        <v>12792</v>
      </c>
      <c r="W3" s="25">
        <v>4036</v>
      </c>
    </row>
    <row r="4" spans="1:23" x14ac:dyDescent="0.25">
      <c r="A4" s="16" t="s">
        <v>110</v>
      </c>
      <c r="B4" s="23">
        <f t="shared" si="0"/>
        <v>4.0463946141688467E-2</v>
      </c>
      <c r="C4" s="47">
        <f>E4-[1]Spain!E4</f>
        <v>-10921.196855108821</v>
      </c>
      <c r="D4" s="1">
        <f>F4-[1]Spain!F4</f>
        <v>-9135.718687850167</v>
      </c>
      <c r="E4" s="109">
        <v>112810.59231323996</v>
      </c>
      <c r="F4" s="1">
        <v>108423.35549595067</v>
      </c>
      <c r="G4" s="1">
        <v>87206.418433274608</v>
      </c>
      <c r="H4" s="1">
        <v>134477.05727071167</v>
      </c>
      <c r="I4" s="1">
        <v>85336.745608534038</v>
      </c>
      <c r="J4" s="1">
        <v>162727.54983108281</v>
      </c>
      <c r="K4" s="1">
        <v>120126.66417579792</v>
      </c>
      <c r="L4" s="1">
        <v>118524</v>
      </c>
      <c r="M4" s="1">
        <v>139795.83982286701</v>
      </c>
      <c r="N4" s="1">
        <v>110099.78099244976</v>
      </c>
      <c r="O4" s="1">
        <v>135594</v>
      </c>
      <c r="P4" s="1">
        <v>116706.18332099359</v>
      </c>
      <c r="Q4" s="1">
        <v>85701.065738005942</v>
      </c>
      <c r="R4" s="1">
        <v>130111</v>
      </c>
      <c r="S4" s="1">
        <v>135716</v>
      </c>
      <c r="T4" s="1">
        <v>103802</v>
      </c>
      <c r="U4" s="1">
        <v>132331</v>
      </c>
      <c r="V4" s="1">
        <v>112398</v>
      </c>
      <c r="W4" s="25">
        <v>105423</v>
      </c>
    </row>
    <row r="5" spans="1:23" x14ac:dyDescent="0.25">
      <c r="A5" s="16" t="s">
        <v>17</v>
      </c>
      <c r="B5" s="23">
        <f t="shared" si="0"/>
        <v>0.10407767896538189</v>
      </c>
      <c r="C5" s="47">
        <f>E5-[1]Spain!E5</f>
        <v>-1463.8390100383549</v>
      </c>
      <c r="D5" s="1">
        <f>F5-[1]Spain!F5</f>
        <v>-1616.6012435464181</v>
      </c>
      <c r="E5" s="109">
        <v>23017.597515747937</v>
      </c>
      <c r="F5" s="1">
        <v>20847.806231638933</v>
      </c>
      <c r="G5" s="1">
        <v>15699.452652774493</v>
      </c>
      <c r="H5" s="1">
        <v>25345.315151977324</v>
      </c>
      <c r="I5" s="1">
        <v>15494.052007187234</v>
      </c>
      <c r="J5" s="1">
        <v>24315.05293633063</v>
      </c>
      <c r="K5" s="1">
        <v>20706.400595156862</v>
      </c>
      <c r="L5" s="1">
        <v>19297</v>
      </c>
      <c r="M5" s="1">
        <v>17947.192058989363</v>
      </c>
      <c r="N5" s="1">
        <v>15694.140653312035</v>
      </c>
      <c r="O5" s="1">
        <v>14022</v>
      </c>
      <c r="P5" s="1">
        <v>13495.364778370462</v>
      </c>
      <c r="Q5" s="1">
        <v>7811.7557539846584</v>
      </c>
      <c r="R5" s="1">
        <v>9752</v>
      </c>
      <c r="S5" s="1">
        <v>6500</v>
      </c>
      <c r="T5" s="1">
        <v>11367</v>
      </c>
      <c r="U5" s="1">
        <v>8133</v>
      </c>
      <c r="V5" s="1">
        <v>6251</v>
      </c>
      <c r="W5" s="25">
        <v>5170</v>
      </c>
    </row>
    <row r="6" spans="1:23" x14ac:dyDescent="0.25">
      <c r="A6" s="16" t="s">
        <v>19</v>
      </c>
      <c r="B6" s="23">
        <f t="shared" si="0"/>
        <v>-0.1008237805402501</v>
      </c>
      <c r="C6" s="47">
        <f>E6-[1]Spain!E6</f>
        <v>-631.7141862954868</v>
      </c>
      <c r="D6" s="1">
        <f>F6-[1]Spain!F6</f>
        <v>-479.63798311455685</v>
      </c>
      <c r="E6" s="109">
        <v>11129.380441406218</v>
      </c>
      <c r="F6" s="1">
        <v>12377.307362613592</v>
      </c>
      <c r="G6" s="1">
        <v>10354.623033281996</v>
      </c>
      <c r="H6" s="1">
        <v>17355.655771557766</v>
      </c>
      <c r="I6" s="1">
        <v>11198.159240056639</v>
      </c>
      <c r="J6" s="1">
        <v>17678.029095927115</v>
      </c>
      <c r="K6" s="1">
        <v>17155.681583564372</v>
      </c>
      <c r="L6" s="1">
        <v>14931</v>
      </c>
      <c r="M6" s="80">
        <v>13897.368048096258</v>
      </c>
      <c r="N6" s="80">
        <v>15282.590984181341</v>
      </c>
      <c r="O6" s="80">
        <v>13617</v>
      </c>
      <c r="P6" s="80">
        <v>11315.305589867245</v>
      </c>
      <c r="Q6" s="80">
        <v>6681.5728740651402</v>
      </c>
      <c r="R6" s="80">
        <v>13212</v>
      </c>
      <c r="S6" s="80">
        <v>15274</v>
      </c>
      <c r="T6" s="80">
        <v>12874</v>
      </c>
      <c r="U6" s="80">
        <v>24378</v>
      </c>
      <c r="V6" s="1">
        <v>20002</v>
      </c>
      <c r="W6" s="25">
        <v>18511</v>
      </c>
    </row>
    <row r="7" spans="1:23" ht="13.8" thickBot="1" x14ac:dyDescent="0.3">
      <c r="A7" s="18" t="s">
        <v>59</v>
      </c>
      <c r="B7" s="24">
        <f t="shared" si="0"/>
        <v>0.17971283462681442</v>
      </c>
      <c r="C7" s="48">
        <f>E7-[1]Spain!E7</f>
        <v>-1725</v>
      </c>
      <c r="D7" s="9">
        <f>F7-[1]Spain!F7</f>
        <v>-666.90999999999622</v>
      </c>
      <c r="E7" s="126">
        <v>27244.3</v>
      </c>
      <c r="F7" s="9">
        <v>23094.010000000002</v>
      </c>
      <c r="G7" s="9">
        <v>18940</v>
      </c>
      <c r="H7" s="9">
        <v>20266.620000000003</v>
      </c>
      <c r="I7" s="9">
        <v>17834.629999999997</v>
      </c>
      <c r="J7" s="9">
        <v>20994.34</v>
      </c>
      <c r="K7" s="9">
        <v>13446.14</v>
      </c>
      <c r="L7" s="9">
        <v>12695</v>
      </c>
      <c r="M7" s="81">
        <v>11799.26</v>
      </c>
      <c r="N7" s="81">
        <v>10226.42</v>
      </c>
      <c r="O7" s="81">
        <v>10593</v>
      </c>
      <c r="P7" s="81">
        <v>11543.795</v>
      </c>
      <c r="Q7" s="81">
        <v>7230.53</v>
      </c>
      <c r="R7" s="81">
        <v>10644</v>
      </c>
      <c r="S7" s="81">
        <v>8352</v>
      </c>
      <c r="T7" s="81">
        <v>7393</v>
      </c>
      <c r="U7" s="81">
        <v>9443</v>
      </c>
      <c r="V7" s="9">
        <v>6515</v>
      </c>
      <c r="W7" s="27">
        <v>6426</v>
      </c>
    </row>
    <row r="8" spans="1:23" ht="13.8" thickBot="1" x14ac:dyDescent="0.3">
      <c r="A8" s="28" t="s">
        <v>23</v>
      </c>
      <c r="B8" s="29">
        <f t="shared" si="0"/>
        <v>6.7809055008621444E-2</v>
      </c>
      <c r="C8" s="49">
        <f>E8-[1]Spain!E8</f>
        <v>-22833.111709063291</v>
      </c>
      <c r="D8" s="30">
        <f>F8-[1]Spain!F8</f>
        <v>-17988.050750175695</v>
      </c>
      <c r="E8" s="102">
        <f t="shared" ref="E8:K8" si="1">SUM(E2:E7)</f>
        <v>202017.57449010591</v>
      </c>
      <c r="F8" s="30">
        <f t="shared" si="1"/>
        <v>189188.85688647287</v>
      </c>
      <c r="G8" s="30">
        <f t="shared" si="1"/>
        <v>160661.62137288047</v>
      </c>
      <c r="H8" s="30">
        <f t="shared" si="1"/>
        <v>232223.17378859274</v>
      </c>
      <c r="I8" s="30">
        <f t="shared" si="1"/>
        <v>160355.50084056289</v>
      </c>
      <c r="J8" s="30">
        <f t="shared" si="1"/>
        <v>264933.74848563608</v>
      </c>
      <c r="K8" s="30">
        <f t="shared" si="1"/>
        <v>207199.01986722241</v>
      </c>
      <c r="L8" s="30">
        <f t="shared" ref="L8:Q8" si="2">SUM(L2:L7)</f>
        <v>192012</v>
      </c>
      <c r="M8" s="30">
        <f t="shared" si="2"/>
        <v>218267.75274496165</v>
      </c>
      <c r="N8" s="30">
        <f t="shared" si="2"/>
        <v>176919.36942501672</v>
      </c>
      <c r="O8" s="30">
        <f t="shared" si="2"/>
        <v>198652.41238611238</v>
      </c>
      <c r="P8" s="30">
        <f t="shared" si="2"/>
        <v>175592.37703110915</v>
      </c>
      <c r="Q8" s="30">
        <f t="shared" si="2"/>
        <v>120516.21950918784</v>
      </c>
      <c r="R8" s="30">
        <f t="shared" ref="R8:W8" si="3">SUM(R2:R7)</f>
        <v>184401</v>
      </c>
      <c r="S8" s="30">
        <f t="shared" si="3"/>
        <v>187831</v>
      </c>
      <c r="T8" s="30">
        <f t="shared" si="3"/>
        <v>152936</v>
      </c>
      <c r="U8" s="30">
        <f t="shared" si="3"/>
        <v>197457</v>
      </c>
      <c r="V8" s="30">
        <f t="shared" si="3"/>
        <v>173285</v>
      </c>
      <c r="W8" s="31">
        <f t="shared" si="3"/>
        <v>146625</v>
      </c>
    </row>
    <row r="9" spans="1:23" x14ac:dyDescent="0.25">
      <c r="B9" s="32" t="str">
        <f t="shared" si="0"/>
        <v/>
      </c>
      <c r="C9" s="32"/>
      <c r="D9" s="32"/>
      <c r="E9" s="32"/>
      <c r="F9" s="32"/>
      <c r="G9" s="32"/>
      <c r="H9" s="32"/>
      <c r="I9" s="32"/>
      <c r="J9" s="32"/>
      <c r="K9" s="32"/>
      <c r="L9" s="32"/>
    </row>
    <row r="10" spans="1:23" ht="13.8" thickBot="1" x14ac:dyDescent="0.3">
      <c r="B10" s="32" t="str">
        <f t="shared" si="0"/>
        <v/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23" ht="13.8" thickBot="1" x14ac:dyDescent="0.3">
      <c r="A11" s="19" t="s">
        <v>25</v>
      </c>
      <c r="B11" s="20" t="s">
        <v>182</v>
      </c>
      <c r="C11" s="46" t="s">
        <v>183</v>
      </c>
      <c r="D11" s="79" t="s">
        <v>180</v>
      </c>
      <c r="E11" s="127">
        <v>45658</v>
      </c>
      <c r="F11" s="82">
        <v>45292</v>
      </c>
      <c r="G11" s="82">
        <v>44927</v>
      </c>
      <c r="H11" s="82">
        <v>44562</v>
      </c>
      <c r="I11" s="82">
        <v>44197</v>
      </c>
      <c r="J11" s="82">
        <v>43831</v>
      </c>
      <c r="K11" s="82">
        <v>43466</v>
      </c>
      <c r="L11" s="21">
        <v>43101</v>
      </c>
      <c r="M11" s="21">
        <v>42736</v>
      </c>
      <c r="N11" s="21">
        <f>N1</f>
        <v>42370</v>
      </c>
      <c r="O11" s="21">
        <f>O1</f>
        <v>42005</v>
      </c>
      <c r="P11" s="21">
        <v>41640</v>
      </c>
      <c r="Q11" s="21">
        <v>41275</v>
      </c>
      <c r="R11" s="21">
        <v>40909</v>
      </c>
      <c r="S11" s="21">
        <v>40544</v>
      </c>
      <c r="T11" s="21">
        <v>40179</v>
      </c>
      <c r="U11" s="21">
        <v>39814</v>
      </c>
      <c r="V11" s="21">
        <v>39448</v>
      </c>
      <c r="W11" s="22">
        <v>39083</v>
      </c>
    </row>
    <row r="12" spans="1:23" x14ac:dyDescent="0.25">
      <c r="A12" s="16" t="s">
        <v>38</v>
      </c>
      <c r="B12" s="23">
        <f t="shared" si="0"/>
        <v>-0.29286884907835464</v>
      </c>
      <c r="C12" s="47">
        <f>E12-[1]Spain!E12</f>
        <v>-121.73752364129837</v>
      </c>
      <c r="D12" s="1">
        <f>F12-[1]Spain!F12</f>
        <v>-82.935020239507139</v>
      </c>
      <c r="E12" s="109">
        <v>865.70299885554073</v>
      </c>
      <c r="F12" s="1">
        <v>1224.2467295171757</v>
      </c>
      <c r="G12" s="1">
        <v>1384.6526948782216</v>
      </c>
      <c r="H12" s="1">
        <v>1738.6778981447339</v>
      </c>
      <c r="I12" s="1">
        <v>3353.1245684698097</v>
      </c>
      <c r="J12" s="1">
        <v>4332.2439036723454</v>
      </c>
      <c r="K12" s="1">
        <v>3450.4720426565118</v>
      </c>
      <c r="L12" s="1">
        <v>4014</v>
      </c>
      <c r="M12" s="1">
        <v>3910.8721310108958</v>
      </c>
      <c r="N12" s="1">
        <v>3150.0488804605934</v>
      </c>
      <c r="O12" s="1">
        <v>3397</v>
      </c>
      <c r="P12" s="1">
        <v>7092.8756859563418</v>
      </c>
      <c r="Q12" s="1">
        <v>3096.4120495300422</v>
      </c>
      <c r="R12" s="1">
        <v>7317</v>
      </c>
      <c r="S12" s="1">
        <v>6917</v>
      </c>
      <c r="T12" s="1">
        <v>6289</v>
      </c>
      <c r="U12" s="1">
        <v>4999</v>
      </c>
      <c r="V12" s="1">
        <v>6960</v>
      </c>
      <c r="W12" s="25">
        <v>9617</v>
      </c>
    </row>
    <row r="13" spans="1:23" x14ac:dyDescent="0.25">
      <c r="A13" s="16" t="s">
        <v>39</v>
      </c>
      <c r="B13" s="23">
        <f t="shared" si="0"/>
        <v>4.5592634671184795E-2</v>
      </c>
      <c r="C13" s="47">
        <f>E13-[1]Spain!E13</f>
        <v>-860.13126123606116</v>
      </c>
      <c r="D13" s="1">
        <f>F13-[1]Spain!F13</f>
        <v>-580.99838559983164</v>
      </c>
      <c r="E13" s="109">
        <v>2487.3402778585896</v>
      </c>
      <c r="F13" s="1">
        <v>2378.8808331083947</v>
      </c>
      <c r="G13" s="1">
        <v>3175.2683245205703</v>
      </c>
      <c r="H13" s="1">
        <v>2184.9858696317638</v>
      </c>
      <c r="I13" s="1">
        <v>6511.0919627975072</v>
      </c>
      <c r="J13" s="1">
        <v>5538.6480656858912</v>
      </c>
      <c r="K13" s="1">
        <v>7356.5567481026746</v>
      </c>
      <c r="L13" s="1">
        <v>10157</v>
      </c>
      <c r="M13" s="1">
        <v>11076.289876382929</v>
      </c>
      <c r="N13" s="1">
        <v>8646.3869584191016</v>
      </c>
      <c r="O13" s="1">
        <v>12489</v>
      </c>
      <c r="P13" s="1">
        <v>12510.793281343675</v>
      </c>
      <c r="Q13" s="1">
        <v>9076.1092066727815</v>
      </c>
      <c r="R13" s="1">
        <v>15725</v>
      </c>
      <c r="S13" s="1">
        <v>22944</v>
      </c>
      <c r="T13" s="1">
        <v>20736</v>
      </c>
      <c r="U13" s="1">
        <v>14373</v>
      </c>
      <c r="V13" s="1">
        <v>31359</v>
      </c>
      <c r="W13" s="25">
        <v>28420</v>
      </c>
    </row>
    <row r="14" spans="1:23" x14ac:dyDescent="0.25">
      <c r="A14" s="16" t="s">
        <v>7</v>
      </c>
      <c r="B14" s="23">
        <f t="shared" si="0"/>
        <v>-0.46910524402164588</v>
      </c>
      <c r="C14" s="47">
        <f>E14-[1]Spain!E14</f>
        <v>-4493.5478688037401</v>
      </c>
      <c r="D14" s="1">
        <f>F14-[1]Spain!F14</f>
        <v>-4822.9326101693732</v>
      </c>
      <c r="E14" s="109">
        <v>22942.764013795539</v>
      </c>
      <c r="F14" s="1">
        <v>43215.277143801686</v>
      </c>
      <c r="G14" s="1">
        <v>34985.061214938076</v>
      </c>
      <c r="H14" s="1">
        <v>50916.590860128345</v>
      </c>
      <c r="I14" s="1">
        <v>47077.180260225956</v>
      </c>
      <c r="J14" s="1">
        <v>54176.020669280602</v>
      </c>
      <c r="K14" s="1">
        <v>51524.744220954926</v>
      </c>
      <c r="L14" s="1">
        <v>57024</v>
      </c>
      <c r="M14" s="1">
        <v>46970.803164411642</v>
      </c>
      <c r="N14" s="1">
        <v>46794.185864643012</v>
      </c>
      <c r="O14" s="1">
        <v>57956</v>
      </c>
      <c r="P14" s="1">
        <v>71430.936273075102</v>
      </c>
      <c r="Q14" s="1">
        <v>41214.023949322269</v>
      </c>
      <c r="R14" s="1">
        <v>77753</v>
      </c>
      <c r="S14" s="1">
        <v>77458</v>
      </c>
      <c r="T14" s="1">
        <v>49656</v>
      </c>
      <c r="U14" s="1">
        <v>65039</v>
      </c>
      <c r="V14" s="1">
        <v>41256</v>
      </c>
      <c r="W14" s="25">
        <v>56649</v>
      </c>
    </row>
    <row r="15" spans="1:23" x14ac:dyDescent="0.25">
      <c r="A15" s="16" t="s">
        <v>111</v>
      </c>
      <c r="B15" s="23">
        <f t="shared" si="0"/>
        <v>-0.92</v>
      </c>
      <c r="C15" s="47">
        <f>E15-[1]Spain!E15</f>
        <v>-441.40697575157242</v>
      </c>
      <c r="D15" s="1">
        <f>F15-[1]Spain!F15</f>
        <v>-524.81655673697594</v>
      </c>
      <c r="E15" s="109">
        <v>19.8</v>
      </c>
      <c r="F15" s="1">
        <v>247.5</v>
      </c>
      <c r="G15" s="1">
        <v>2.9699999999999998</v>
      </c>
      <c r="H15" s="1">
        <v>14.85</v>
      </c>
      <c r="I15" s="1">
        <v>22.77</v>
      </c>
      <c r="J15" s="1">
        <v>33.659999999999997</v>
      </c>
      <c r="K15" s="1">
        <v>100.98</v>
      </c>
      <c r="L15" s="1">
        <v>0</v>
      </c>
      <c r="M15" s="1">
        <v>0</v>
      </c>
      <c r="N15" s="1">
        <v>11.879999999999999</v>
      </c>
      <c r="O15" s="1">
        <v>22</v>
      </c>
      <c r="P15" s="1">
        <v>483.16653000000002</v>
      </c>
      <c r="Q15" s="1">
        <v>0</v>
      </c>
      <c r="R15" s="1">
        <v>0</v>
      </c>
      <c r="S15" s="1">
        <v>19</v>
      </c>
      <c r="T15" s="1">
        <v>0</v>
      </c>
      <c r="U15" s="1">
        <v>11</v>
      </c>
      <c r="V15" s="1">
        <v>47</v>
      </c>
      <c r="W15" s="25"/>
    </row>
    <row r="16" spans="1:23" ht="13.8" thickBot="1" x14ac:dyDescent="0.3">
      <c r="A16" s="26" t="s">
        <v>59</v>
      </c>
      <c r="B16" s="24">
        <f t="shared" si="0"/>
        <v>0.16605733670600009</v>
      </c>
      <c r="C16" s="48">
        <f>E16-[1]Spain!E16</f>
        <v>-1071.4141105377298</v>
      </c>
      <c r="D16" s="9">
        <f>F16-[1]Spain!F16</f>
        <v>-914.51926380239365</v>
      </c>
      <c r="E16" s="126">
        <v>2107.6054726244715</v>
      </c>
      <c r="F16" s="9">
        <v>1807.4629834054767</v>
      </c>
      <c r="G16" s="9">
        <v>1862.767973087168</v>
      </c>
      <c r="H16" s="9">
        <v>1106.7707109271471</v>
      </c>
      <c r="I16" s="9">
        <v>2902.9930204421912</v>
      </c>
      <c r="J16" s="9">
        <v>3722.6254144356435</v>
      </c>
      <c r="K16" s="9">
        <v>3655.1640995580406</v>
      </c>
      <c r="L16" s="9">
        <v>3930</v>
      </c>
      <c r="M16" s="9">
        <v>3864.3058547071869</v>
      </c>
      <c r="N16" s="9">
        <v>3548.987255213086</v>
      </c>
      <c r="O16" s="9">
        <v>3692</v>
      </c>
      <c r="P16" s="9">
        <v>5231.9437276526824</v>
      </c>
      <c r="Q16" s="9">
        <v>2636.0759679349812</v>
      </c>
      <c r="R16" s="9">
        <v>8853</v>
      </c>
      <c r="S16" s="9">
        <v>6447</v>
      </c>
      <c r="T16" s="9">
        <v>4430</v>
      </c>
      <c r="U16" s="9">
        <v>6081</v>
      </c>
      <c r="V16" s="9">
        <v>8474</v>
      </c>
      <c r="W16" s="27">
        <v>9793</v>
      </c>
    </row>
    <row r="17" spans="1:24" ht="13.8" thickBot="1" x14ac:dyDescent="0.3">
      <c r="A17" s="28" t="s">
        <v>23</v>
      </c>
      <c r="B17" s="29">
        <f t="shared" si="0"/>
        <v>-0.41843146673424136</v>
      </c>
      <c r="C17" s="49">
        <f>E17-[1]Spain!E17</f>
        <v>-6988.2377399703983</v>
      </c>
      <c r="D17" s="30">
        <f>F17-[1]Spain!F17</f>
        <v>-6926.2018365480762</v>
      </c>
      <c r="E17" s="102">
        <f t="shared" ref="E17:K17" si="4">SUM(E12:E16)</f>
        <v>28423.212763134143</v>
      </c>
      <c r="F17" s="30">
        <f t="shared" si="4"/>
        <v>48873.367689832739</v>
      </c>
      <c r="G17" s="30">
        <f t="shared" si="4"/>
        <v>41410.720207424034</v>
      </c>
      <c r="H17" s="30">
        <f t="shared" si="4"/>
        <v>55961.875338831989</v>
      </c>
      <c r="I17" s="30">
        <f t="shared" si="4"/>
        <v>59867.15981193546</v>
      </c>
      <c r="J17" s="30">
        <f t="shared" si="4"/>
        <v>67803.198053074491</v>
      </c>
      <c r="K17" s="30">
        <f t="shared" si="4"/>
        <v>66087.917111272152</v>
      </c>
      <c r="L17" s="30">
        <f t="shared" ref="L17:Q17" si="5">SUM(L12:L16)</f>
        <v>75125</v>
      </c>
      <c r="M17" s="30">
        <f t="shared" si="5"/>
        <v>65822.271026512652</v>
      </c>
      <c r="N17" s="30">
        <f t="shared" si="5"/>
        <v>62151.48895873579</v>
      </c>
      <c r="O17" s="30">
        <f t="shared" si="5"/>
        <v>77556</v>
      </c>
      <c r="P17" s="30">
        <f t="shared" si="5"/>
        <v>96749.715498027814</v>
      </c>
      <c r="Q17" s="30">
        <f t="shared" si="5"/>
        <v>56022.621173460073</v>
      </c>
      <c r="R17" s="30">
        <f t="shared" ref="R17:W17" si="6">SUM(R12:R16)</f>
        <v>109648</v>
      </c>
      <c r="S17" s="30">
        <f t="shared" si="6"/>
        <v>113785</v>
      </c>
      <c r="T17" s="30">
        <f t="shared" si="6"/>
        <v>81111</v>
      </c>
      <c r="U17" s="30">
        <f t="shared" si="6"/>
        <v>90503</v>
      </c>
      <c r="V17" s="30">
        <f t="shared" si="6"/>
        <v>88096</v>
      </c>
      <c r="W17" s="31">
        <f t="shared" si="6"/>
        <v>104479</v>
      </c>
    </row>
    <row r="18" spans="1:24" x14ac:dyDescent="0.25">
      <c r="B18" t="str">
        <f t="shared" si="0"/>
        <v/>
      </c>
    </row>
    <row r="19" spans="1:24" x14ac:dyDescent="0.25">
      <c r="B19" t="str">
        <f t="shared" si="0"/>
        <v/>
      </c>
    </row>
    <row r="20" spans="1:24" x14ac:dyDescent="0.25">
      <c r="B20" t="str">
        <f t="shared" si="0"/>
        <v/>
      </c>
    </row>
    <row r="21" spans="1:24" x14ac:dyDescent="0.25">
      <c r="B21" t="str">
        <f t="shared" si="0"/>
        <v/>
      </c>
    </row>
    <row r="22" spans="1:24" x14ac:dyDescent="0.25">
      <c r="B22" t="str">
        <f t="shared" si="0"/>
        <v/>
      </c>
    </row>
    <row r="23" spans="1:24" x14ac:dyDescent="0.25">
      <c r="B23" t="str">
        <f t="shared" si="0"/>
        <v/>
      </c>
    </row>
    <row r="24" spans="1:24" ht="17.399999999999999" x14ac:dyDescent="0.3">
      <c r="B24" t="str">
        <f t="shared" si="0"/>
        <v/>
      </c>
      <c r="V24" s="5"/>
      <c r="W24" s="1"/>
      <c r="X24" s="1"/>
    </row>
    <row r="25" spans="1:24" ht="17.399999999999999" x14ac:dyDescent="0.3">
      <c r="B25" t="str">
        <f t="shared" si="0"/>
        <v/>
      </c>
      <c r="V25" s="5"/>
      <c r="W25" s="1"/>
      <c r="X25" s="1"/>
    </row>
    <row r="26" spans="1:24" ht="17.399999999999999" x14ac:dyDescent="0.3">
      <c r="B26" t="str">
        <f t="shared" si="0"/>
        <v/>
      </c>
      <c r="V26" s="5"/>
      <c r="W26" s="1"/>
      <c r="X26" s="1"/>
    </row>
    <row r="27" spans="1:24" ht="17.399999999999999" x14ac:dyDescent="0.3">
      <c r="B27" t="str">
        <f t="shared" si="0"/>
        <v/>
      </c>
      <c r="V27" s="5"/>
      <c r="W27" s="1"/>
      <c r="X27" s="1"/>
    </row>
    <row r="28" spans="1:24" ht="17.399999999999999" x14ac:dyDescent="0.3">
      <c r="B28" t="str">
        <f t="shared" si="0"/>
        <v/>
      </c>
      <c r="V28" s="5"/>
      <c r="W28" s="1"/>
      <c r="X28" s="1"/>
    </row>
    <row r="29" spans="1:24" ht="17.399999999999999" x14ac:dyDescent="0.3">
      <c r="B29" t="str">
        <f t="shared" si="0"/>
        <v/>
      </c>
      <c r="V29" s="5"/>
      <c r="W29" s="1"/>
      <c r="X29" s="1"/>
    </row>
    <row r="30" spans="1:24" ht="17.399999999999999" x14ac:dyDescent="0.3">
      <c r="B30" t="str">
        <f t="shared" si="0"/>
        <v/>
      </c>
      <c r="V30" s="5"/>
      <c r="W30" s="1"/>
      <c r="X30" s="1"/>
    </row>
    <row r="31" spans="1:24" ht="17.399999999999999" x14ac:dyDescent="0.3">
      <c r="B31" t="str">
        <f t="shared" si="0"/>
        <v/>
      </c>
      <c r="V31" s="5"/>
      <c r="W31" s="1"/>
      <c r="X31" s="1"/>
    </row>
    <row r="32" spans="1:24" ht="17.399999999999999" x14ac:dyDescent="0.3">
      <c r="B32" t="str">
        <f t="shared" si="0"/>
        <v/>
      </c>
      <c r="V32" s="5"/>
      <c r="W32" s="1"/>
      <c r="X32" s="1"/>
    </row>
    <row r="33" spans="2:24" ht="17.399999999999999" x14ac:dyDescent="0.3">
      <c r="B33" t="str">
        <f t="shared" si="0"/>
        <v/>
      </c>
      <c r="V33" s="5"/>
      <c r="W33" s="1"/>
      <c r="X33" s="1"/>
    </row>
    <row r="34" spans="2:24" ht="17.399999999999999" x14ac:dyDescent="0.3">
      <c r="B34" t="str">
        <f t="shared" si="0"/>
        <v/>
      </c>
      <c r="V34" s="6"/>
      <c r="W34" s="1"/>
      <c r="X34" s="1"/>
    </row>
    <row r="35" spans="2:24" ht="18" x14ac:dyDescent="0.35">
      <c r="B35" t="str">
        <f t="shared" si="0"/>
        <v/>
      </c>
      <c r="V35" s="7"/>
      <c r="W35" s="2"/>
      <c r="X35" s="2"/>
    </row>
    <row r="36" spans="2:24" x14ac:dyDescent="0.25">
      <c r="B36" t="str">
        <f t="shared" si="0"/>
        <v/>
      </c>
    </row>
    <row r="37" spans="2:24" x14ac:dyDescent="0.25">
      <c r="B37" t="str">
        <f t="shared" si="0"/>
        <v/>
      </c>
    </row>
    <row r="38" spans="2:24" x14ac:dyDescent="0.25">
      <c r="B38" t="str">
        <f t="shared" si="0"/>
        <v/>
      </c>
    </row>
    <row r="39" spans="2:24" x14ac:dyDescent="0.25">
      <c r="B39" t="str">
        <f t="shared" si="0"/>
        <v/>
      </c>
    </row>
    <row r="40" spans="2:24" x14ac:dyDescent="0.25">
      <c r="B40" t="str">
        <f t="shared" si="0"/>
        <v/>
      </c>
    </row>
    <row r="41" spans="2:24" x14ac:dyDescent="0.25">
      <c r="B41" t="str">
        <f t="shared" si="0"/>
        <v/>
      </c>
    </row>
    <row r="42" spans="2:24" x14ac:dyDescent="0.25">
      <c r="B42" t="str">
        <f t="shared" si="0"/>
        <v/>
      </c>
    </row>
    <row r="43" spans="2:24" x14ac:dyDescent="0.25">
      <c r="B43" t="str">
        <f t="shared" si="0"/>
        <v/>
      </c>
    </row>
    <row r="44" spans="2:24" x14ac:dyDescent="0.25">
      <c r="B44" t="str">
        <f t="shared" si="0"/>
        <v/>
      </c>
    </row>
    <row r="45" spans="2:24" x14ac:dyDescent="0.25">
      <c r="B45" t="str">
        <f t="shared" si="0"/>
        <v/>
      </c>
    </row>
    <row r="46" spans="2:24" x14ac:dyDescent="0.25">
      <c r="B46" t="str">
        <f t="shared" si="0"/>
        <v/>
      </c>
    </row>
    <row r="47" spans="2:24" x14ac:dyDescent="0.25">
      <c r="B47" t="str">
        <f t="shared" si="0"/>
        <v/>
      </c>
    </row>
    <row r="48" spans="2:24" x14ac:dyDescent="0.25">
      <c r="B48" t="str">
        <f t="shared" si="0"/>
        <v/>
      </c>
    </row>
    <row r="49" spans="2:2" x14ac:dyDescent="0.25">
      <c r="B49" t="str">
        <f t="shared" si="0"/>
        <v/>
      </c>
    </row>
    <row r="50" spans="2:2" x14ac:dyDescent="0.25">
      <c r="B50" t="str">
        <f t="shared" si="0"/>
        <v/>
      </c>
    </row>
  </sheetData>
  <pageMargins left="0.75" right="0.75" top="1" bottom="1" header="0.5" footer="0.5"/>
  <pageSetup paperSize="9" orientation="portrait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X50"/>
  <sheetViews>
    <sheetView zoomScaleNormal="100" workbookViewId="0"/>
  </sheetViews>
  <sheetFormatPr defaultColWidth="9.109375" defaultRowHeight="13.2" x14ac:dyDescent="0.25"/>
  <cols>
    <col min="1" max="1" width="29.33203125" customWidth="1"/>
    <col min="2" max="2" width="10.6640625" customWidth="1"/>
    <col min="3" max="3" width="11.77734375" customWidth="1"/>
    <col min="4" max="12" width="12" customWidth="1"/>
    <col min="13" max="23" width="10.109375" bestFit="1" customWidth="1"/>
  </cols>
  <sheetData>
    <row r="1" spans="1:23" ht="13.8" thickBot="1" x14ac:dyDescent="0.3">
      <c r="A1" s="19" t="s">
        <v>24</v>
      </c>
      <c r="B1" s="20" t="s">
        <v>182</v>
      </c>
      <c r="C1" s="46" t="s">
        <v>183</v>
      </c>
      <c r="D1" s="79" t="s">
        <v>180</v>
      </c>
      <c r="E1" s="127">
        <v>45658</v>
      </c>
      <c r="F1" s="82">
        <v>45292</v>
      </c>
      <c r="G1" s="82">
        <v>44927</v>
      </c>
      <c r="H1" s="82">
        <v>44562</v>
      </c>
      <c r="I1" s="82">
        <v>44197</v>
      </c>
      <c r="J1" s="82">
        <v>43831</v>
      </c>
      <c r="K1" s="82">
        <v>43466</v>
      </c>
      <c r="L1" s="21">
        <v>43101</v>
      </c>
      <c r="M1" s="21">
        <v>42736</v>
      </c>
      <c r="N1" s="21">
        <v>42370</v>
      </c>
      <c r="O1" s="21">
        <v>42005</v>
      </c>
      <c r="P1" s="21">
        <v>41640</v>
      </c>
      <c r="Q1" s="21">
        <v>41275</v>
      </c>
      <c r="R1" s="21">
        <v>40909</v>
      </c>
      <c r="S1" s="21">
        <v>40544</v>
      </c>
      <c r="T1" s="21">
        <v>40179</v>
      </c>
      <c r="U1" s="21">
        <v>39814</v>
      </c>
      <c r="V1" s="21">
        <v>39448</v>
      </c>
      <c r="W1" s="22">
        <v>39083</v>
      </c>
    </row>
    <row r="2" spans="1:23" x14ac:dyDescent="0.25">
      <c r="A2" s="16" t="s">
        <v>4</v>
      </c>
      <c r="B2" s="23">
        <f>IFERROR((E2/F2-1), "")</f>
        <v>5.3430656934306571</v>
      </c>
      <c r="C2" s="47">
        <f>E2-[1]Switzerland!E2</f>
        <v>-367</v>
      </c>
      <c r="D2" s="1">
        <f>F2-[1]Switzerland!F2</f>
        <v>-377</v>
      </c>
      <c r="E2" s="109">
        <v>1738</v>
      </c>
      <c r="F2" s="1">
        <v>274</v>
      </c>
      <c r="G2" s="1">
        <v>1453</v>
      </c>
      <c r="H2" s="1">
        <v>223</v>
      </c>
      <c r="I2" s="1">
        <v>451</v>
      </c>
      <c r="J2" s="1">
        <f>19+16</f>
        <v>35</v>
      </c>
      <c r="K2" s="1">
        <f>591+57</f>
        <v>648</v>
      </c>
      <c r="L2" s="1">
        <v>11</v>
      </c>
      <c r="M2" s="1">
        <v>305</v>
      </c>
      <c r="N2" s="1">
        <v>78</v>
      </c>
      <c r="O2" s="1">
        <v>155</v>
      </c>
      <c r="P2" s="1">
        <v>182</v>
      </c>
      <c r="Q2" s="1">
        <v>183</v>
      </c>
      <c r="R2" s="1">
        <v>301</v>
      </c>
      <c r="S2" s="1">
        <v>230</v>
      </c>
      <c r="T2" s="1">
        <v>65</v>
      </c>
      <c r="U2" s="1">
        <v>1170</v>
      </c>
      <c r="V2" s="1">
        <v>1086</v>
      </c>
      <c r="W2" s="25">
        <v>704</v>
      </c>
    </row>
    <row r="3" spans="1:23" x14ac:dyDescent="0.25">
      <c r="A3" s="16" t="s">
        <v>11</v>
      </c>
      <c r="B3" s="23">
        <f t="shared" ref="B3:B50" si="0">IFERROR((E3/F3-1), "")</f>
        <v>8.7702343561246732E-2</v>
      </c>
      <c r="C3" s="47">
        <f>E3-[1]Switzerland!E3</f>
        <v>-1029</v>
      </c>
      <c r="D3" s="1">
        <f>F3-[1]Switzerland!F3</f>
        <v>-823</v>
      </c>
      <c r="E3" s="109">
        <v>9004</v>
      </c>
      <c r="F3" s="1">
        <v>8278</v>
      </c>
      <c r="G3" s="1">
        <v>7865</v>
      </c>
      <c r="H3" s="1">
        <v>7754</v>
      </c>
      <c r="I3" s="1">
        <v>8187</v>
      </c>
      <c r="J3" s="1">
        <f>7214+322</f>
        <v>7536</v>
      </c>
      <c r="K3" s="1">
        <f>9284+265</f>
        <v>9549</v>
      </c>
      <c r="L3" s="1">
        <v>4586</v>
      </c>
      <c r="M3" s="1">
        <v>8193</v>
      </c>
      <c r="N3" s="1">
        <v>8854</v>
      </c>
      <c r="O3" s="1">
        <v>7838</v>
      </c>
      <c r="P3" s="1">
        <v>8989</v>
      </c>
      <c r="Q3" s="1">
        <v>8026</v>
      </c>
      <c r="R3" s="1">
        <v>8450</v>
      </c>
      <c r="S3" s="1">
        <v>7497</v>
      </c>
      <c r="T3" s="1">
        <v>7677</v>
      </c>
      <c r="U3" s="1">
        <v>5553</v>
      </c>
      <c r="V3" s="1">
        <v>5784</v>
      </c>
      <c r="W3" s="25">
        <v>4790</v>
      </c>
    </row>
    <row r="4" spans="1:23" x14ac:dyDescent="0.25">
      <c r="A4" s="16" t="s">
        <v>5</v>
      </c>
      <c r="B4" s="23" t="str">
        <f t="shared" si="0"/>
        <v/>
      </c>
      <c r="C4" s="47">
        <f>E4-[1]Switzerland!E4</f>
        <v>-99</v>
      </c>
      <c r="D4" s="1">
        <f>F4-[1]Switzerland!F4</f>
        <v>0</v>
      </c>
      <c r="E4" s="109">
        <v>69</v>
      </c>
      <c r="F4" s="1">
        <v>0</v>
      </c>
      <c r="G4" s="1">
        <v>0</v>
      </c>
      <c r="H4" s="1">
        <v>0</v>
      </c>
      <c r="I4" s="1">
        <v>0</v>
      </c>
      <c r="J4" s="1">
        <v>13</v>
      </c>
      <c r="K4" s="1">
        <f>93</f>
        <v>93</v>
      </c>
      <c r="L4" s="1">
        <v>0</v>
      </c>
      <c r="M4" s="1">
        <v>0</v>
      </c>
      <c r="N4" s="1">
        <v>1</v>
      </c>
      <c r="O4" s="1">
        <v>0</v>
      </c>
      <c r="P4" s="1">
        <v>6</v>
      </c>
      <c r="Q4" s="1">
        <v>1</v>
      </c>
      <c r="R4" s="1">
        <v>195</v>
      </c>
      <c r="S4" s="1">
        <v>2</v>
      </c>
      <c r="T4" s="1">
        <v>55</v>
      </c>
      <c r="U4" s="1">
        <v>55</v>
      </c>
      <c r="V4" s="1">
        <v>81</v>
      </c>
      <c r="W4" s="25">
        <v>58</v>
      </c>
    </row>
    <row r="5" spans="1:23" x14ac:dyDescent="0.25">
      <c r="A5" s="16" t="s">
        <v>2</v>
      </c>
      <c r="B5" s="23">
        <f t="shared" si="0"/>
        <v>-0.8</v>
      </c>
      <c r="C5" s="47">
        <f>E5-[1]Switzerland!E5</f>
        <v>-17</v>
      </c>
      <c r="D5" s="1">
        <f>F5-[1]Switzerland!F5</f>
        <v>-6</v>
      </c>
      <c r="E5" s="109">
        <v>1</v>
      </c>
      <c r="F5" s="1">
        <v>5</v>
      </c>
      <c r="G5" s="1">
        <v>23</v>
      </c>
      <c r="H5" s="1">
        <v>0</v>
      </c>
      <c r="I5" s="1">
        <v>4</v>
      </c>
      <c r="J5" s="1">
        <v>8</v>
      </c>
      <c r="K5" s="1">
        <v>27</v>
      </c>
      <c r="L5" s="1">
        <v>2</v>
      </c>
      <c r="M5" s="1">
        <v>89</v>
      </c>
      <c r="N5" s="1">
        <v>0</v>
      </c>
      <c r="O5" s="1">
        <v>9</v>
      </c>
      <c r="P5" s="1">
        <v>77</v>
      </c>
      <c r="Q5" s="1">
        <v>17</v>
      </c>
      <c r="R5" s="1">
        <v>101</v>
      </c>
      <c r="S5" s="1">
        <v>3</v>
      </c>
      <c r="T5" s="1">
        <v>19</v>
      </c>
      <c r="U5" s="1">
        <v>12</v>
      </c>
      <c r="V5" s="1">
        <v>160</v>
      </c>
      <c r="W5" s="25">
        <v>33</v>
      </c>
    </row>
    <row r="6" spans="1:23" x14ac:dyDescent="0.25">
      <c r="A6" s="16" t="s">
        <v>9</v>
      </c>
      <c r="B6" s="23">
        <f t="shared" si="0"/>
        <v>0.27955403492213304</v>
      </c>
      <c r="C6" s="47">
        <f>E6-[1]Switzerland!E6</f>
        <v>-2212</v>
      </c>
      <c r="D6" s="1">
        <f>F6-[1]Switzerland!F6</f>
        <v>-2365</v>
      </c>
      <c r="E6" s="109">
        <v>21691</v>
      </c>
      <c r="F6" s="1">
        <v>16952</v>
      </c>
      <c r="G6" s="1">
        <v>16190</v>
      </c>
      <c r="H6" s="1">
        <v>20327</v>
      </c>
      <c r="I6" s="1">
        <v>20515</v>
      </c>
      <c r="J6" s="1">
        <f>18559+784</f>
        <v>19343</v>
      </c>
      <c r="K6" s="1">
        <f>18812+1249</f>
        <v>20061</v>
      </c>
      <c r="L6" s="1">
        <f>11256+386</f>
        <v>11642</v>
      </c>
      <c r="M6" s="1">
        <v>14666</v>
      </c>
      <c r="N6" s="1">
        <v>17265</v>
      </c>
      <c r="O6" s="1">
        <v>15523</v>
      </c>
      <c r="P6" s="1">
        <v>16817</v>
      </c>
      <c r="Q6" s="1">
        <v>15264</v>
      </c>
      <c r="R6" s="1">
        <v>19036</v>
      </c>
      <c r="S6" s="1">
        <v>15205</v>
      </c>
      <c r="T6" s="1">
        <v>17437</v>
      </c>
      <c r="U6" s="1">
        <v>12198</v>
      </c>
      <c r="V6" s="1">
        <v>14926</v>
      </c>
      <c r="W6" s="25">
        <v>11521</v>
      </c>
    </row>
    <row r="7" spans="1:23" x14ac:dyDescent="0.25">
      <c r="A7" s="16" t="s">
        <v>112</v>
      </c>
      <c r="B7" s="23">
        <f t="shared" si="0"/>
        <v>2.2352941176470589</v>
      </c>
      <c r="C7" s="47">
        <f>E7-[1]Switzerland!E7</f>
        <v>-3</v>
      </c>
      <c r="D7" s="1">
        <f>F7-[1]Switzerland!F7</f>
        <v>-4</v>
      </c>
      <c r="E7" s="109">
        <v>55</v>
      </c>
      <c r="F7" s="1">
        <v>17</v>
      </c>
      <c r="G7" s="1">
        <v>50</v>
      </c>
      <c r="H7" s="1">
        <v>52</v>
      </c>
      <c r="I7" s="1">
        <v>57</v>
      </c>
      <c r="J7" s="1">
        <f>39+29</f>
        <v>68</v>
      </c>
      <c r="K7" s="1">
        <f>77+40</f>
        <v>117</v>
      </c>
      <c r="L7" s="1">
        <v>32</v>
      </c>
      <c r="M7" s="1">
        <v>120</v>
      </c>
      <c r="N7" s="1">
        <v>176</v>
      </c>
      <c r="O7" s="1">
        <v>96</v>
      </c>
      <c r="P7" s="1">
        <v>180</v>
      </c>
      <c r="Q7" s="1">
        <v>194</v>
      </c>
      <c r="R7" s="1">
        <v>190</v>
      </c>
      <c r="S7" s="1">
        <v>538</v>
      </c>
      <c r="T7" s="1">
        <v>363</v>
      </c>
      <c r="U7" s="1">
        <v>675</v>
      </c>
      <c r="V7" s="1">
        <v>514</v>
      </c>
      <c r="W7" s="25">
        <v>649</v>
      </c>
    </row>
    <row r="8" spans="1:23" x14ac:dyDescent="0.25">
      <c r="A8" s="16" t="s">
        <v>3</v>
      </c>
      <c r="B8" s="23">
        <f t="shared" si="0"/>
        <v>0.18989331836047163</v>
      </c>
      <c r="C8" s="47">
        <f>E8-[1]Switzerland!E8</f>
        <v>-775</v>
      </c>
      <c r="D8" s="1">
        <f>F8-[1]Switzerland!F8</f>
        <v>-725</v>
      </c>
      <c r="E8" s="109">
        <v>10596</v>
      </c>
      <c r="F8" s="1">
        <v>8905</v>
      </c>
      <c r="G8" s="1">
        <v>8953</v>
      </c>
      <c r="H8" s="1">
        <v>10920</v>
      </c>
      <c r="I8" s="1">
        <v>9896</v>
      </c>
      <c r="J8" s="1">
        <f>11207+174</f>
        <v>11381</v>
      </c>
      <c r="K8" s="1">
        <f>9954+127</f>
        <v>10081</v>
      </c>
      <c r="L8" s="1">
        <v>9789</v>
      </c>
      <c r="M8" s="1">
        <v>14151</v>
      </c>
      <c r="N8" s="80">
        <v>11939</v>
      </c>
      <c r="O8" s="80">
        <v>13061</v>
      </c>
      <c r="P8" s="80">
        <v>12080</v>
      </c>
      <c r="Q8" s="80">
        <v>14775</v>
      </c>
      <c r="R8" s="80">
        <v>14751</v>
      </c>
      <c r="S8" s="80">
        <v>16844</v>
      </c>
      <c r="T8" s="80">
        <v>17970</v>
      </c>
      <c r="U8" s="80">
        <v>18019</v>
      </c>
      <c r="V8" s="1">
        <v>18880</v>
      </c>
      <c r="W8" s="25">
        <v>19998</v>
      </c>
    </row>
    <row r="9" spans="1:23" x14ac:dyDescent="0.25">
      <c r="A9" s="16" t="s">
        <v>17</v>
      </c>
      <c r="B9" s="23">
        <f t="shared" si="0"/>
        <v>-2.0771513353115778E-2</v>
      </c>
      <c r="C9" s="47">
        <f>E9-[1]Switzerland!E9</f>
        <v>-22</v>
      </c>
      <c r="D9" s="1">
        <f>F9-[1]Switzerland!F9</f>
        <v>-83</v>
      </c>
      <c r="E9" s="109">
        <v>330</v>
      </c>
      <c r="F9" s="1">
        <v>337</v>
      </c>
      <c r="G9" s="1">
        <v>399</v>
      </c>
      <c r="H9" s="1">
        <v>488</v>
      </c>
      <c r="I9" s="1">
        <v>287</v>
      </c>
      <c r="J9" s="1">
        <v>328</v>
      </c>
      <c r="K9" s="1">
        <v>323</v>
      </c>
      <c r="L9" s="1">
        <v>229</v>
      </c>
      <c r="M9" s="1">
        <v>372</v>
      </c>
      <c r="N9" s="80">
        <v>275</v>
      </c>
      <c r="O9" s="80">
        <v>369</v>
      </c>
      <c r="P9" s="80">
        <v>335</v>
      </c>
      <c r="Q9" s="80">
        <v>341</v>
      </c>
      <c r="R9" s="80">
        <v>216</v>
      </c>
      <c r="S9" s="80">
        <v>389</v>
      </c>
      <c r="T9" s="80">
        <v>238</v>
      </c>
      <c r="U9" s="80">
        <v>599</v>
      </c>
      <c r="V9" s="1">
        <v>157</v>
      </c>
      <c r="W9" s="25">
        <v>446</v>
      </c>
    </row>
    <row r="10" spans="1:23" x14ac:dyDescent="0.25">
      <c r="A10" s="16" t="s">
        <v>10</v>
      </c>
      <c r="B10" s="23">
        <f t="shared" si="0"/>
        <v>0.63285024154589364</v>
      </c>
      <c r="C10" s="47">
        <f>E10-[1]Switzerland!E10</f>
        <v>-21</v>
      </c>
      <c r="D10" s="1">
        <f>F10-[1]Switzerland!F10</f>
        <v>-4</v>
      </c>
      <c r="E10" s="109">
        <v>338</v>
      </c>
      <c r="F10" s="1">
        <v>207</v>
      </c>
      <c r="G10" s="1">
        <v>371</v>
      </c>
      <c r="H10" s="1">
        <v>394</v>
      </c>
      <c r="I10" s="1">
        <v>515</v>
      </c>
      <c r="J10" s="1">
        <f>224+61</f>
        <v>285</v>
      </c>
      <c r="K10" s="1">
        <f>314+109</f>
        <v>423</v>
      </c>
      <c r="L10" s="1">
        <v>164</v>
      </c>
      <c r="M10" s="1">
        <v>529</v>
      </c>
      <c r="N10" s="80">
        <v>1097</v>
      </c>
      <c r="O10" s="80">
        <v>1122</v>
      </c>
      <c r="P10" s="80">
        <v>1640</v>
      </c>
      <c r="Q10" s="80">
        <v>1735</v>
      </c>
      <c r="R10" s="80">
        <v>1102</v>
      </c>
      <c r="S10" s="80">
        <v>2712</v>
      </c>
      <c r="T10" s="80">
        <v>2378</v>
      </c>
      <c r="U10" s="80">
        <v>3239</v>
      </c>
      <c r="V10" s="1">
        <v>2126</v>
      </c>
      <c r="W10" s="25">
        <v>3290</v>
      </c>
    </row>
    <row r="11" spans="1:23" x14ac:dyDescent="0.25">
      <c r="A11" s="16" t="s">
        <v>27</v>
      </c>
      <c r="B11" s="23">
        <f t="shared" si="0"/>
        <v>0.8877630553390492</v>
      </c>
      <c r="C11" s="47">
        <f>E11-[1]Switzerland!E11</f>
        <v>-157</v>
      </c>
      <c r="D11" s="1">
        <f>F11-[1]Switzerland!F11</f>
        <v>-208</v>
      </c>
      <c r="E11" s="109">
        <v>2422</v>
      </c>
      <c r="F11" s="1">
        <v>1283</v>
      </c>
      <c r="G11" s="1">
        <v>2088</v>
      </c>
      <c r="H11" s="1">
        <v>1762</v>
      </c>
      <c r="I11" s="1">
        <v>1339</v>
      </c>
      <c r="J11" s="1">
        <f>2299+139</f>
        <v>2438</v>
      </c>
      <c r="K11" s="1">
        <f>1939+112</f>
        <v>2051</v>
      </c>
      <c r="L11" s="1">
        <v>121</v>
      </c>
      <c r="M11" s="1">
        <v>3023</v>
      </c>
      <c r="N11" s="80">
        <v>2380</v>
      </c>
      <c r="O11" s="80">
        <v>2891</v>
      </c>
      <c r="P11" s="80">
        <v>2982</v>
      </c>
      <c r="Q11" s="80">
        <v>2920</v>
      </c>
      <c r="R11" s="80">
        <v>3396</v>
      </c>
      <c r="S11" s="80">
        <v>2798</v>
      </c>
      <c r="T11" s="80">
        <v>3725</v>
      </c>
      <c r="U11" s="80">
        <v>4036</v>
      </c>
      <c r="V11" s="1">
        <v>3964</v>
      </c>
      <c r="W11" s="25">
        <v>3909</v>
      </c>
    </row>
    <row r="12" spans="1:23" x14ac:dyDescent="0.25">
      <c r="A12" s="16" t="s">
        <v>113</v>
      </c>
      <c r="B12" s="23">
        <f t="shared" si="0"/>
        <v>60</v>
      </c>
      <c r="C12" s="47">
        <f>E12-[1]Switzerland!E12</f>
        <v>-4</v>
      </c>
      <c r="D12" s="1">
        <f>F12-[1]Switzerland!F12</f>
        <v>-7</v>
      </c>
      <c r="E12" s="109">
        <v>183</v>
      </c>
      <c r="F12" s="1">
        <v>3</v>
      </c>
      <c r="G12" s="1">
        <v>80</v>
      </c>
      <c r="H12" s="1">
        <v>80</v>
      </c>
      <c r="I12" s="1">
        <v>214</v>
      </c>
      <c r="J12" s="1">
        <v>17</v>
      </c>
      <c r="K12" s="1">
        <v>286</v>
      </c>
      <c r="L12" s="1">
        <v>0</v>
      </c>
      <c r="M12" s="1">
        <v>167</v>
      </c>
      <c r="N12" s="80">
        <v>155</v>
      </c>
      <c r="O12" s="80">
        <v>193</v>
      </c>
      <c r="P12" s="80">
        <v>270</v>
      </c>
      <c r="Q12" s="80">
        <v>113</v>
      </c>
      <c r="R12" s="80">
        <v>144</v>
      </c>
      <c r="S12" s="80">
        <v>141</v>
      </c>
      <c r="T12" s="80">
        <v>84</v>
      </c>
      <c r="U12" s="80">
        <v>181</v>
      </c>
      <c r="V12" s="1">
        <v>122</v>
      </c>
      <c r="W12" s="25">
        <v>195</v>
      </c>
    </row>
    <row r="13" spans="1:23" x14ac:dyDescent="0.25">
      <c r="A13" s="16" t="s">
        <v>114</v>
      </c>
      <c r="B13" s="23">
        <f t="shared" si="0"/>
        <v>5.7272727272727275</v>
      </c>
      <c r="C13" s="47">
        <f>E13-[1]Switzerland!E13</f>
        <v>-13</v>
      </c>
      <c r="D13" s="1">
        <f>F13-[1]Switzerland!F13</f>
        <v>0</v>
      </c>
      <c r="E13" s="109">
        <v>74</v>
      </c>
      <c r="F13" s="1">
        <v>11</v>
      </c>
      <c r="G13" s="1">
        <v>67</v>
      </c>
      <c r="H13" s="1">
        <v>79</v>
      </c>
      <c r="I13" s="1">
        <v>196</v>
      </c>
      <c r="J13" s="1">
        <v>56</v>
      </c>
      <c r="K13" s="1">
        <f>63+329</f>
        <v>392</v>
      </c>
      <c r="L13" s="1">
        <v>120</v>
      </c>
      <c r="M13" s="1">
        <v>263</v>
      </c>
      <c r="N13" s="80">
        <v>528</v>
      </c>
      <c r="O13" s="80">
        <v>832</v>
      </c>
      <c r="P13" s="80">
        <v>921</v>
      </c>
      <c r="Q13" s="80">
        <v>1581</v>
      </c>
      <c r="R13" s="80">
        <v>2033</v>
      </c>
      <c r="S13" s="80">
        <v>3533</v>
      </c>
      <c r="T13" s="80">
        <v>4092</v>
      </c>
      <c r="U13" s="80">
        <v>4424</v>
      </c>
      <c r="V13" s="1">
        <v>5500</v>
      </c>
      <c r="W13" s="25">
        <v>7314</v>
      </c>
    </row>
    <row r="14" spans="1:23" x14ac:dyDescent="0.25">
      <c r="A14" s="16" t="s">
        <v>13</v>
      </c>
      <c r="B14" s="23">
        <f t="shared" si="0"/>
        <v>4.5146726862301811E-3</v>
      </c>
      <c r="C14" s="47">
        <f>E14-[1]Switzerland!E14</f>
        <v>-22</v>
      </c>
      <c r="D14" s="1">
        <f>F14-[1]Switzerland!F14</f>
        <v>-34</v>
      </c>
      <c r="E14" s="109">
        <v>445</v>
      </c>
      <c r="F14" s="1">
        <v>443</v>
      </c>
      <c r="G14" s="1">
        <v>410</v>
      </c>
      <c r="H14" s="1">
        <v>402</v>
      </c>
      <c r="I14" s="1">
        <v>470</v>
      </c>
      <c r="J14" s="1">
        <f>148+111</f>
        <v>259</v>
      </c>
      <c r="K14" s="1">
        <f>202+94</f>
        <v>296</v>
      </c>
      <c r="L14" s="1">
        <v>95</v>
      </c>
      <c r="M14" s="1">
        <v>325</v>
      </c>
      <c r="N14" s="80">
        <v>436</v>
      </c>
      <c r="O14" s="80">
        <v>335</v>
      </c>
      <c r="P14" s="80">
        <v>657</v>
      </c>
      <c r="Q14" s="80">
        <v>819</v>
      </c>
      <c r="R14" s="80">
        <v>938</v>
      </c>
      <c r="S14" s="80">
        <v>904</v>
      </c>
      <c r="T14" s="80">
        <v>982</v>
      </c>
      <c r="U14" s="80">
        <v>881</v>
      </c>
      <c r="V14" s="1">
        <v>762</v>
      </c>
      <c r="W14" s="25">
        <v>711</v>
      </c>
    </row>
    <row r="15" spans="1:23" x14ac:dyDescent="0.25">
      <c r="A15" s="16" t="s">
        <v>115</v>
      </c>
      <c r="B15" s="23">
        <f t="shared" si="0"/>
        <v>2.5</v>
      </c>
      <c r="C15" s="47">
        <f>E15-[1]Switzerland!E15</f>
        <v>-8</v>
      </c>
      <c r="D15" s="1">
        <f>F15-[1]Switzerland!F15</f>
        <v>-10</v>
      </c>
      <c r="E15" s="109">
        <v>21</v>
      </c>
      <c r="F15" s="1">
        <v>6</v>
      </c>
      <c r="G15" s="1">
        <v>15</v>
      </c>
      <c r="H15" s="1">
        <v>20</v>
      </c>
      <c r="I15" s="1">
        <v>56</v>
      </c>
      <c r="J15" s="1">
        <v>9</v>
      </c>
      <c r="K15" s="1">
        <f>30+5</f>
        <v>35</v>
      </c>
      <c r="L15" s="1">
        <v>0</v>
      </c>
      <c r="M15" s="1">
        <v>4</v>
      </c>
      <c r="N15" s="80">
        <v>2</v>
      </c>
      <c r="O15" s="80">
        <v>11</v>
      </c>
      <c r="P15" s="80">
        <v>27</v>
      </c>
      <c r="Q15" s="80">
        <v>10</v>
      </c>
      <c r="R15" s="80">
        <v>33</v>
      </c>
      <c r="S15" s="80">
        <v>2</v>
      </c>
      <c r="T15" s="80">
        <v>10</v>
      </c>
      <c r="U15" s="80">
        <v>42</v>
      </c>
      <c r="V15" s="1">
        <v>34</v>
      </c>
      <c r="W15" s="25">
        <v>79</v>
      </c>
    </row>
    <row r="16" spans="1:23" x14ac:dyDescent="0.25">
      <c r="A16" s="16" t="s">
        <v>96</v>
      </c>
      <c r="B16" s="23">
        <f t="shared" si="0"/>
        <v>0.51655629139072845</v>
      </c>
      <c r="C16" s="47">
        <f>E16-[1]Switzerland!E16</f>
        <v>-112</v>
      </c>
      <c r="D16" s="1">
        <f>F16-[1]Switzerland!F16</f>
        <v>-112</v>
      </c>
      <c r="E16" s="109">
        <v>916</v>
      </c>
      <c r="F16" s="1">
        <v>604</v>
      </c>
      <c r="G16" s="1">
        <v>912</v>
      </c>
      <c r="H16" s="1">
        <v>528</v>
      </c>
      <c r="I16" s="1">
        <v>461</v>
      </c>
      <c r="J16" s="1">
        <f>85+240</f>
        <v>325</v>
      </c>
      <c r="K16" s="1">
        <f>280+649</f>
        <v>929</v>
      </c>
      <c r="L16" s="1">
        <v>213</v>
      </c>
      <c r="M16" s="80">
        <v>561</v>
      </c>
      <c r="N16" s="80">
        <v>981</v>
      </c>
      <c r="O16" s="80">
        <v>1068</v>
      </c>
      <c r="P16" s="80">
        <v>1340</v>
      </c>
      <c r="Q16" s="80">
        <v>1349</v>
      </c>
      <c r="R16" s="80">
        <v>1571</v>
      </c>
      <c r="S16" s="80">
        <v>1238</v>
      </c>
      <c r="T16" s="80">
        <v>1356</v>
      </c>
      <c r="U16" s="80">
        <v>928</v>
      </c>
      <c r="V16" s="1">
        <v>1379</v>
      </c>
      <c r="W16" s="25">
        <v>1141</v>
      </c>
    </row>
    <row r="17" spans="1:23" x14ac:dyDescent="0.25">
      <c r="A17" s="37" t="s">
        <v>87</v>
      </c>
      <c r="B17" s="23">
        <f t="shared" si="0"/>
        <v>0.29260251390892233</v>
      </c>
      <c r="C17" s="47">
        <f>E17-[1]Switzerland!E17</f>
        <v>7829</v>
      </c>
      <c r="D17" s="1">
        <f>F17-[1]Switzerland!F17</f>
        <v>6538</v>
      </c>
      <c r="E17" s="109">
        <v>12546</v>
      </c>
      <c r="F17" s="1">
        <v>9706</v>
      </c>
      <c r="G17" s="1">
        <v>11405</v>
      </c>
      <c r="H17" s="1">
        <v>12162</v>
      </c>
      <c r="I17" s="1">
        <v>11439</v>
      </c>
      <c r="J17" s="1">
        <f>10507+259</f>
        <v>10766</v>
      </c>
      <c r="K17" s="1">
        <f>12889+225</f>
        <v>13114</v>
      </c>
      <c r="L17" s="1">
        <f>7483+90</f>
        <v>7573</v>
      </c>
      <c r="M17" s="80">
        <v>10888</v>
      </c>
      <c r="N17" s="80">
        <v>8445</v>
      </c>
      <c r="O17" s="80">
        <v>9092</v>
      </c>
      <c r="P17" s="80">
        <v>10241</v>
      </c>
      <c r="Q17" s="80">
        <v>7484</v>
      </c>
      <c r="R17" s="80">
        <v>8813</v>
      </c>
      <c r="S17" s="80">
        <v>4974</v>
      </c>
      <c r="T17" s="80">
        <f>354+526+3563</f>
        <v>4443</v>
      </c>
      <c r="U17" s="80">
        <v>1772</v>
      </c>
      <c r="V17" s="1">
        <v>1434</v>
      </c>
      <c r="W17" s="25">
        <v>696</v>
      </c>
    </row>
    <row r="18" spans="1:23" ht="13.8" thickBot="1" x14ac:dyDescent="0.3">
      <c r="A18" s="18" t="s">
        <v>59</v>
      </c>
      <c r="B18" s="24">
        <f t="shared" si="0"/>
        <v>0.60247408893346699</v>
      </c>
      <c r="C18" s="48">
        <f>E18-[1]Switzerland!E18</f>
        <v>-9603</v>
      </c>
      <c r="D18" s="9">
        <f>F18-[1]Switzerland!F18</f>
        <v>-8707</v>
      </c>
      <c r="E18" s="126">
        <v>4793</v>
      </c>
      <c r="F18" s="9">
        <v>2991</v>
      </c>
      <c r="G18" s="9">
        <v>3738</v>
      </c>
      <c r="H18" s="9">
        <f>1270+1428+201</f>
        <v>2899</v>
      </c>
      <c r="I18" s="9">
        <v>3511</v>
      </c>
      <c r="J18" s="9">
        <f>334+559+325+13+18+1170</f>
        <v>2419</v>
      </c>
      <c r="K18" s="9">
        <f>347+640+620+38+2464+45</f>
        <v>4154</v>
      </c>
      <c r="L18" s="9">
        <f>320+459+293+8+494</f>
        <v>1574</v>
      </c>
      <c r="M18" s="81">
        <v>3103</v>
      </c>
      <c r="N18" s="81">
        <v>3661</v>
      </c>
      <c r="O18" s="81">
        <v>3825</v>
      </c>
      <c r="P18" s="81">
        <v>1038</v>
      </c>
      <c r="Q18" s="81">
        <v>681</v>
      </c>
      <c r="R18" s="81">
        <v>612</v>
      </c>
      <c r="S18" s="81">
        <v>522</v>
      </c>
      <c r="T18" s="81">
        <v>729</v>
      </c>
      <c r="U18" s="81">
        <v>665</v>
      </c>
      <c r="V18" s="9">
        <v>584</v>
      </c>
      <c r="W18" s="27">
        <v>758</v>
      </c>
    </row>
    <row r="19" spans="1:23" ht="13.8" thickBot="1" x14ac:dyDescent="0.3">
      <c r="A19" s="28" t="s">
        <v>23</v>
      </c>
      <c r="B19" s="29">
        <f t="shared" si="0"/>
        <v>0.30386629882851546</v>
      </c>
      <c r="C19" s="49">
        <f>E19-[1]Switzerland!E19</f>
        <v>-6635</v>
      </c>
      <c r="D19" s="30">
        <f>F19-[1]Switzerland!F19</f>
        <v>-6927</v>
      </c>
      <c r="E19" s="102">
        <f t="shared" ref="E19:K19" si="1">SUM(E2:E18)</f>
        <v>65222</v>
      </c>
      <c r="F19" s="30">
        <f t="shared" si="1"/>
        <v>50022</v>
      </c>
      <c r="G19" s="30">
        <f t="shared" si="1"/>
        <v>54019</v>
      </c>
      <c r="H19" s="30">
        <f t="shared" si="1"/>
        <v>58090</v>
      </c>
      <c r="I19" s="30">
        <f t="shared" si="1"/>
        <v>57598</v>
      </c>
      <c r="J19" s="30">
        <f t="shared" si="1"/>
        <v>55286</v>
      </c>
      <c r="K19" s="30">
        <f t="shared" si="1"/>
        <v>62579</v>
      </c>
      <c r="L19" s="30">
        <f t="shared" ref="L19:Q19" si="2">SUM(L2:L18)</f>
        <v>36151</v>
      </c>
      <c r="M19" s="30">
        <f t="shared" si="2"/>
        <v>56759</v>
      </c>
      <c r="N19" s="30">
        <f t="shared" si="2"/>
        <v>56273</v>
      </c>
      <c r="O19" s="30">
        <f t="shared" si="2"/>
        <v>56420</v>
      </c>
      <c r="P19" s="30">
        <f t="shared" si="2"/>
        <v>57782</v>
      </c>
      <c r="Q19" s="30">
        <f t="shared" si="2"/>
        <v>55493</v>
      </c>
      <c r="R19" s="30">
        <f t="shared" ref="R19:W19" si="3">SUM(R2:R18)</f>
        <v>61882</v>
      </c>
      <c r="S19" s="30">
        <f t="shared" si="3"/>
        <v>57532</v>
      </c>
      <c r="T19" s="30">
        <f t="shared" si="3"/>
        <v>61623</v>
      </c>
      <c r="U19" s="30">
        <f t="shared" si="3"/>
        <v>54449</v>
      </c>
      <c r="V19" s="30">
        <f t="shared" si="3"/>
        <v>57493</v>
      </c>
      <c r="W19" s="31">
        <f t="shared" si="3"/>
        <v>56292</v>
      </c>
    </row>
    <row r="20" spans="1:23" x14ac:dyDescent="0.25">
      <c r="B20" s="32" t="str">
        <f t="shared" si="0"/>
        <v/>
      </c>
      <c r="C20" s="32"/>
      <c r="D20" s="32"/>
      <c r="E20" s="32"/>
      <c r="F20" s="32"/>
      <c r="G20" s="32"/>
      <c r="H20" s="32"/>
      <c r="I20" s="32"/>
      <c r="J20" s="32"/>
      <c r="K20" s="32"/>
      <c r="L20" s="32"/>
    </row>
    <row r="21" spans="1:23" ht="13.8" thickBot="1" x14ac:dyDescent="0.3">
      <c r="B21" s="32" t="str">
        <f t="shared" si="0"/>
        <v/>
      </c>
      <c r="C21" s="32"/>
      <c r="D21" s="32"/>
      <c r="E21" s="32"/>
      <c r="F21" s="32"/>
      <c r="G21" s="32"/>
      <c r="H21" s="32"/>
      <c r="I21" s="32"/>
      <c r="J21" s="32"/>
      <c r="K21" s="32"/>
      <c r="L21" s="32"/>
    </row>
    <row r="22" spans="1:23" ht="13.8" thickBot="1" x14ac:dyDescent="0.3">
      <c r="A22" s="19" t="s">
        <v>25</v>
      </c>
      <c r="B22" s="20" t="s">
        <v>182</v>
      </c>
      <c r="C22" s="46" t="s">
        <v>183</v>
      </c>
      <c r="D22" s="79" t="s">
        <v>180</v>
      </c>
      <c r="E22" s="127">
        <v>45658</v>
      </c>
      <c r="F22" s="82">
        <v>45292</v>
      </c>
      <c r="G22" s="82">
        <v>44927</v>
      </c>
      <c r="H22" s="82">
        <v>44562</v>
      </c>
      <c r="I22" s="82">
        <v>44197</v>
      </c>
      <c r="J22" s="82">
        <v>43831</v>
      </c>
      <c r="K22" s="82">
        <v>43466</v>
      </c>
      <c r="L22" s="21">
        <v>43101</v>
      </c>
      <c r="M22" s="21">
        <v>42736</v>
      </c>
      <c r="N22" s="21">
        <f>N1</f>
        <v>42370</v>
      </c>
      <c r="O22" s="21">
        <f>O1</f>
        <v>42005</v>
      </c>
      <c r="P22" s="21">
        <v>41640</v>
      </c>
      <c r="Q22" s="21">
        <v>41275</v>
      </c>
      <c r="R22" s="21">
        <v>40909</v>
      </c>
      <c r="S22" s="21">
        <v>40544</v>
      </c>
      <c r="T22" s="21">
        <v>40179</v>
      </c>
      <c r="U22" s="21">
        <v>39814</v>
      </c>
      <c r="V22" s="21">
        <v>39448</v>
      </c>
      <c r="W22" s="22">
        <v>39083</v>
      </c>
    </row>
    <row r="23" spans="1:23" x14ac:dyDescent="0.25">
      <c r="A23" s="16" t="s">
        <v>116</v>
      </c>
      <c r="B23" s="23">
        <f t="shared" si="0"/>
        <v>0.26979083929044223</v>
      </c>
      <c r="C23" s="47">
        <f>E23-[1]Switzerland!E23</f>
        <v>-978</v>
      </c>
      <c r="D23" s="1">
        <f>F23-[1]Switzerland!F23</f>
        <v>-605</v>
      </c>
      <c r="E23" s="109">
        <v>4796</v>
      </c>
      <c r="F23" s="1">
        <v>3777</v>
      </c>
      <c r="G23" s="1">
        <v>4206</v>
      </c>
      <c r="H23" s="1">
        <v>3913</v>
      </c>
      <c r="I23" s="1">
        <v>5099</v>
      </c>
      <c r="J23" s="1">
        <f>5617+135</f>
        <v>5752</v>
      </c>
      <c r="K23" s="1">
        <f>5002+209</f>
        <v>5211</v>
      </c>
      <c r="L23" s="1">
        <f>292+74</f>
        <v>366</v>
      </c>
      <c r="M23" s="1">
        <v>2635</v>
      </c>
      <c r="N23" s="1">
        <v>3245</v>
      </c>
      <c r="O23" s="1">
        <v>4316</v>
      </c>
      <c r="P23" s="1">
        <v>3301</v>
      </c>
      <c r="Q23" s="1">
        <v>2188</v>
      </c>
      <c r="R23" s="1">
        <v>4376</v>
      </c>
      <c r="S23" s="1">
        <v>2288</v>
      </c>
      <c r="T23" s="1">
        <v>4031</v>
      </c>
      <c r="U23" s="1">
        <v>899</v>
      </c>
      <c r="V23" s="1">
        <v>3999</v>
      </c>
      <c r="W23" s="25">
        <v>2636</v>
      </c>
    </row>
    <row r="24" spans="1:23" x14ac:dyDescent="0.25">
      <c r="A24" s="16" t="s">
        <v>7</v>
      </c>
      <c r="B24" s="23">
        <f t="shared" si="0"/>
        <v>25.984615384615385</v>
      </c>
      <c r="C24" s="47">
        <f>E24-[1]Switzerland!E24</f>
        <v>-469</v>
      </c>
      <c r="D24" s="1">
        <f>F24-[1]Switzerland!F24</f>
        <v>-406</v>
      </c>
      <c r="E24" s="109">
        <v>1754</v>
      </c>
      <c r="F24" s="1">
        <v>65</v>
      </c>
      <c r="G24" s="1">
        <v>1049</v>
      </c>
      <c r="H24" s="1">
        <v>398</v>
      </c>
      <c r="I24" s="1">
        <v>957</v>
      </c>
      <c r="J24" s="1">
        <f>1546+158</f>
        <v>1704</v>
      </c>
      <c r="K24" s="1">
        <f>1045+29</f>
        <v>1074</v>
      </c>
      <c r="L24" s="1">
        <f>119+16</f>
        <v>135</v>
      </c>
      <c r="M24" s="1">
        <v>1252</v>
      </c>
      <c r="N24" s="1">
        <v>851</v>
      </c>
      <c r="O24" s="1">
        <v>1236</v>
      </c>
      <c r="P24" s="1">
        <v>1025</v>
      </c>
      <c r="Q24" s="1">
        <v>589</v>
      </c>
      <c r="R24" s="1">
        <v>2379</v>
      </c>
      <c r="S24" s="1">
        <v>432</v>
      </c>
      <c r="T24" s="1">
        <v>2022</v>
      </c>
      <c r="U24" s="1">
        <v>415</v>
      </c>
      <c r="V24" s="1">
        <v>2486</v>
      </c>
      <c r="W24" s="25">
        <v>992</v>
      </c>
    </row>
    <row r="25" spans="1:23" x14ac:dyDescent="0.25">
      <c r="A25" s="16" t="s">
        <v>117</v>
      </c>
      <c r="B25" s="23">
        <f t="shared" si="0"/>
        <v>6.1381215469613259</v>
      </c>
      <c r="C25" s="47">
        <f>E25-[1]Switzerland!E25</f>
        <v>-224</v>
      </c>
      <c r="D25" s="1">
        <f>F25-[1]Switzerland!F25</f>
        <v>-225</v>
      </c>
      <c r="E25" s="109">
        <v>1292</v>
      </c>
      <c r="F25" s="1">
        <v>181</v>
      </c>
      <c r="G25" s="1">
        <v>788</v>
      </c>
      <c r="H25" s="1">
        <v>535</v>
      </c>
      <c r="I25" s="1">
        <v>1105</v>
      </c>
      <c r="J25" s="1">
        <f>985+45</f>
        <v>1030</v>
      </c>
      <c r="K25" s="1">
        <f>1052+234</f>
        <v>1286</v>
      </c>
      <c r="L25" s="1">
        <v>183</v>
      </c>
      <c r="M25" s="1">
        <v>1465</v>
      </c>
      <c r="N25" s="1">
        <v>1498</v>
      </c>
      <c r="O25" s="1">
        <v>1361</v>
      </c>
      <c r="P25" s="1">
        <v>1539</v>
      </c>
      <c r="Q25" s="1">
        <v>1150</v>
      </c>
      <c r="R25" s="1">
        <v>2376</v>
      </c>
      <c r="S25" s="1">
        <v>601</v>
      </c>
      <c r="T25" s="1">
        <v>2783</v>
      </c>
      <c r="U25" s="1">
        <v>306</v>
      </c>
      <c r="V25" s="1">
        <v>2853</v>
      </c>
      <c r="W25" s="25">
        <v>988</v>
      </c>
    </row>
    <row r="26" spans="1:23" x14ac:dyDescent="0.25">
      <c r="A26" s="37" t="s">
        <v>164</v>
      </c>
      <c r="B26" s="23" t="str">
        <f t="shared" si="0"/>
        <v/>
      </c>
      <c r="C26" s="47">
        <f>E26-[1]Switzerland!E26</f>
        <v>-104</v>
      </c>
      <c r="D26" s="1">
        <f>F26-[1]Switzerland!F26</f>
        <v>0</v>
      </c>
      <c r="E26" s="109">
        <v>71</v>
      </c>
      <c r="F26" s="1">
        <v>0</v>
      </c>
      <c r="G26" s="1">
        <v>1</v>
      </c>
      <c r="H26" s="1">
        <v>0</v>
      </c>
      <c r="I26" s="1">
        <v>22</v>
      </c>
      <c r="J26" s="1">
        <f>58</f>
        <v>58</v>
      </c>
      <c r="K26" s="1">
        <v>127</v>
      </c>
      <c r="L26" s="1">
        <v>0</v>
      </c>
      <c r="M26" s="1">
        <v>0</v>
      </c>
      <c r="N26" s="1">
        <v>28</v>
      </c>
      <c r="O26" s="1"/>
      <c r="P26" s="1"/>
      <c r="Q26" s="1"/>
      <c r="R26" s="1"/>
      <c r="S26" s="1"/>
      <c r="T26" s="1"/>
      <c r="U26" s="1"/>
      <c r="V26" s="1"/>
      <c r="W26" s="25"/>
    </row>
    <row r="27" spans="1:23" ht="13.8" thickBot="1" x14ac:dyDescent="0.3">
      <c r="A27" s="26" t="s">
        <v>59</v>
      </c>
      <c r="B27" s="24">
        <f t="shared" si="0"/>
        <v>0.7217573221757323</v>
      </c>
      <c r="C27" s="48">
        <f>E27-[1]Switzerland!E27</f>
        <v>-365</v>
      </c>
      <c r="D27" s="9">
        <f>F27-[1]Switzerland!F27</f>
        <v>-244</v>
      </c>
      <c r="E27" s="126">
        <v>823</v>
      </c>
      <c r="F27" s="9">
        <v>478</v>
      </c>
      <c r="G27" s="9">
        <v>897</v>
      </c>
      <c r="H27" s="9">
        <v>468</v>
      </c>
      <c r="I27" s="9">
        <v>566</v>
      </c>
      <c r="J27" s="9">
        <f>401+22</f>
        <v>423</v>
      </c>
      <c r="K27" s="9">
        <f>494+51</f>
        <v>545</v>
      </c>
      <c r="L27" s="9">
        <v>94</v>
      </c>
      <c r="M27" s="9">
        <v>221</v>
      </c>
      <c r="N27" s="9">
        <v>212</v>
      </c>
      <c r="O27" s="9">
        <v>388</v>
      </c>
      <c r="P27" s="9">
        <v>286</v>
      </c>
      <c r="Q27" s="9">
        <v>136</v>
      </c>
      <c r="R27" s="9">
        <v>315</v>
      </c>
      <c r="S27" s="9">
        <v>145</v>
      </c>
      <c r="T27" s="9">
        <v>314</v>
      </c>
      <c r="U27" s="9">
        <v>82</v>
      </c>
      <c r="V27" s="9">
        <v>370</v>
      </c>
      <c r="W27" s="27">
        <v>185</v>
      </c>
    </row>
    <row r="28" spans="1:23" ht="13.8" thickBot="1" x14ac:dyDescent="0.3">
      <c r="A28" s="28" t="s">
        <v>23</v>
      </c>
      <c r="B28" s="29">
        <f t="shared" si="0"/>
        <v>0.94090202177293936</v>
      </c>
      <c r="C28" s="49">
        <f>E28-[1]Switzerland!E28</f>
        <v>-2140</v>
      </c>
      <c r="D28" s="30">
        <f>F28-[1]Switzerland!F28</f>
        <v>-1480</v>
      </c>
      <c r="E28" s="102">
        <f t="shared" ref="E28:K28" si="4">SUM(E23:E27)</f>
        <v>8736</v>
      </c>
      <c r="F28" s="30">
        <f t="shared" si="4"/>
        <v>4501</v>
      </c>
      <c r="G28" s="30">
        <f t="shared" si="4"/>
        <v>6941</v>
      </c>
      <c r="H28" s="30">
        <f t="shared" si="4"/>
        <v>5314</v>
      </c>
      <c r="I28" s="30">
        <f t="shared" si="4"/>
        <v>7749</v>
      </c>
      <c r="J28" s="30">
        <f t="shared" si="4"/>
        <v>8967</v>
      </c>
      <c r="K28" s="30">
        <f t="shared" si="4"/>
        <v>8243</v>
      </c>
      <c r="L28" s="30">
        <f t="shared" ref="L28:Q28" si="5">SUM(L23:L27)</f>
        <v>778</v>
      </c>
      <c r="M28" s="30">
        <f t="shared" si="5"/>
        <v>5573</v>
      </c>
      <c r="N28" s="30">
        <f t="shared" si="5"/>
        <v>5834</v>
      </c>
      <c r="O28" s="30">
        <f t="shared" si="5"/>
        <v>7301</v>
      </c>
      <c r="P28" s="30">
        <f t="shared" si="5"/>
        <v>6151</v>
      </c>
      <c r="Q28" s="30">
        <f t="shared" si="5"/>
        <v>4063</v>
      </c>
      <c r="R28" s="30">
        <f t="shared" ref="R28:W28" si="6">SUM(R23:R27)</f>
        <v>9446</v>
      </c>
      <c r="S28" s="30">
        <f t="shared" si="6"/>
        <v>3466</v>
      </c>
      <c r="T28" s="30">
        <f t="shared" si="6"/>
        <v>9150</v>
      </c>
      <c r="U28" s="30">
        <f t="shared" si="6"/>
        <v>1702</v>
      </c>
      <c r="V28" s="30">
        <f t="shared" si="6"/>
        <v>9708</v>
      </c>
      <c r="W28" s="31">
        <f t="shared" si="6"/>
        <v>4801</v>
      </c>
    </row>
    <row r="29" spans="1:23" x14ac:dyDescent="0.25">
      <c r="A29" t="s">
        <v>165</v>
      </c>
      <c r="B29" t="str">
        <f t="shared" si="0"/>
        <v/>
      </c>
    </row>
    <row r="30" spans="1:23" x14ac:dyDescent="0.25">
      <c r="B30" t="str">
        <f t="shared" si="0"/>
        <v/>
      </c>
    </row>
    <row r="31" spans="1:23" x14ac:dyDescent="0.25">
      <c r="B31" t="str">
        <f t="shared" si="0"/>
        <v/>
      </c>
    </row>
    <row r="32" spans="1:23" x14ac:dyDescent="0.25">
      <c r="B32" t="str">
        <f t="shared" si="0"/>
        <v/>
      </c>
    </row>
    <row r="33" spans="2:24" x14ac:dyDescent="0.25">
      <c r="B33" t="str">
        <f t="shared" si="0"/>
        <v/>
      </c>
    </row>
    <row r="34" spans="2:24" x14ac:dyDescent="0.25">
      <c r="B34" t="str">
        <f t="shared" si="0"/>
        <v/>
      </c>
    </row>
    <row r="35" spans="2:24" ht="17.399999999999999" x14ac:dyDescent="0.3">
      <c r="B35" t="str">
        <f t="shared" si="0"/>
        <v/>
      </c>
      <c r="V35" s="5"/>
      <c r="W35" s="1"/>
      <c r="X35" s="1"/>
    </row>
    <row r="36" spans="2:24" ht="17.399999999999999" x14ac:dyDescent="0.3">
      <c r="B36" t="str">
        <f t="shared" si="0"/>
        <v/>
      </c>
      <c r="V36" s="5"/>
      <c r="W36" s="1"/>
      <c r="X36" s="1"/>
    </row>
    <row r="37" spans="2:24" ht="17.399999999999999" x14ac:dyDescent="0.3">
      <c r="B37" t="str">
        <f t="shared" si="0"/>
        <v/>
      </c>
      <c r="V37" s="5"/>
      <c r="W37" s="1"/>
      <c r="X37" s="1"/>
    </row>
    <row r="38" spans="2:24" ht="17.399999999999999" x14ac:dyDescent="0.3">
      <c r="B38" t="str">
        <f t="shared" si="0"/>
        <v/>
      </c>
      <c r="V38" s="5"/>
      <c r="W38" s="1"/>
      <c r="X38" s="1"/>
    </row>
    <row r="39" spans="2:24" ht="17.399999999999999" x14ac:dyDescent="0.3">
      <c r="B39" t="str">
        <f t="shared" si="0"/>
        <v/>
      </c>
      <c r="V39" s="5"/>
      <c r="W39" s="1"/>
      <c r="X39" s="1"/>
    </row>
    <row r="40" spans="2:24" ht="17.399999999999999" x14ac:dyDescent="0.3">
      <c r="B40" t="str">
        <f t="shared" si="0"/>
        <v/>
      </c>
      <c r="V40" s="5"/>
      <c r="W40" s="1"/>
      <c r="X40" s="1"/>
    </row>
    <row r="41" spans="2:24" ht="17.399999999999999" x14ac:dyDescent="0.3">
      <c r="B41" t="str">
        <f t="shared" si="0"/>
        <v/>
      </c>
      <c r="V41" s="5"/>
      <c r="W41" s="1"/>
      <c r="X41" s="1"/>
    </row>
    <row r="42" spans="2:24" ht="17.399999999999999" x14ac:dyDescent="0.3">
      <c r="B42" t="str">
        <f t="shared" si="0"/>
        <v/>
      </c>
      <c r="V42" s="5"/>
      <c r="W42" s="1"/>
      <c r="X42" s="1"/>
    </row>
    <row r="43" spans="2:24" ht="17.399999999999999" x14ac:dyDescent="0.3">
      <c r="B43" t="str">
        <f t="shared" si="0"/>
        <v/>
      </c>
      <c r="V43" s="5"/>
      <c r="W43" s="1"/>
      <c r="X43" s="1"/>
    </row>
    <row r="44" spans="2:24" ht="17.399999999999999" x14ac:dyDescent="0.3">
      <c r="B44" t="str">
        <f t="shared" si="0"/>
        <v/>
      </c>
      <c r="V44" s="5"/>
      <c r="W44" s="1"/>
      <c r="X44" s="1"/>
    </row>
    <row r="45" spans="2:24" ht="17.399999999999999" x14ac:dyDescent="0.3">
      <c r="B45" t="str">
        <f t="shared" si="0"/>
        <v/>
      </c>
      <c r="V45" s="6"/>
      <c r="W45" s="1"/>
      <c r="X45" s="1"/>
    </row>
    <row r="46" spans="2:24" ht="18" x14ac:dyDescent="0.35">
      <c r="B46" t="str">
        <f t="shared" si="0"/>
        <v/>
      </c>
      <c r="V46" s="7"/>
      <c r="W46" s="2"/>
      <c r="X46" s="2"/>
    </row>
    <row r="47" spans="2:24" x14ac:dyDescent="0.25">
      <c r="B47" t="str">
        <f t="shared" si="0"/>
        <v/>
      </c>
    </row>
    <row r="48" spans="2:24" x14ac:dyDescent="0.25">
      <c r="B48" t="str">
        <f t="shared" si="0"/>
        <v/>
      </c>
    </row>
    <row r="49" spans="2:2" x14ac:dyDescent="0.25">
      <c r="B49" t="str">
        <f t="shared" si="0"/>
        <v/>
      </c>
    </row>
    <row r="50" spans="2:2" x14ac:dyDescent="0.25">
      <c r="B50" t="str">
        <f t="shared" si="0"/>
        <v/>
      </c>
    </row>
  </sheetData>
  <pageMargins left="0.75" right="0.75" top="1" bottom="1" header="0.5" footer="0.5"/>
  <pageSetup paperSize="9" orientation="portrait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W50"/>
  <sheetViews>
    <sheetView zoomScaleNormal="100" workbookViewId="0">
      <selection activeCell="D3" sqref="D3"/>
    </sheetView>
  </sheetViews>
  <sheetFormatPr defaultColWidth="9.109375" defaultRowHeight="13.2" x14ac:dyDescent="0.25"/>
  <cols>
    <col min="1" max="1" width="29.33203125" customWidth="1"/>
    <col min="2" max="2" width="10.6640625" customWidth="1"/>
    <col min="3" max="3" width="11.44140625" customWidth="1"/>
    <col min="4" max="12" width="11.33203125" customWidth="1"/>
    <col min="13" max="23" width="10.109375" bestFit="1" customWidth="1"/>
  </cols>
  <sheetData>
    <row r="1" spans="1:23" ht="13.8" thickBot="1" x14ac:dyDescent="0.3">
      <c r="A1" s="19" t="s">
        <v>24</v>
      </c>
      <c r="B1" s="20" t="s">
        <v>182</v>
      </c>
      <c r="C1" s="46" t="s">
        <v>183</v>
      </c>
      <c r="D1" s="79" t="s">
        <v>180</v>
      </c>
      <c r="E1" s="127">
        <v>45658</v>
      </c>
      <c r="F1" s="82">
        <v>45292</v>
      </c>
      <c r="G1" s="82">
        <v>44927</v>
      </c>
      <c r="H1" s="82">
        <v>44562</v>
      </c>
      <c r="I1" s="82">
        <v>44197</v>
      </c>
      <c r="J1" s="82">
        <v>43831</v>
      </c>
      <c r="K1" s="82">
        <v>43466</v>
      </c>
      <c r="L1" s="21">
        <v>43101</v>
      </c>
      <c r="M1" s="21">
        <v>42736</v>
      </c>
      <c r="N1" s="21">
        <v>42370</v>
      </c>
      <c r="O1" s="21">
        <v>42005</v>
      </c>
      <c r="P1" s="21">
        <v>41640</v>
      </c>
      <c r="Q1" s="21">
        <v>41275</v>
      </c>
      <c r="R1" s="21">
        <v>40909</v>
      </c>
      <c r="S1" s="21">
        <v>40544</v>
      </c>
      <c r="T1" s="21">
        <v>40179</v>
      </c>
      <c r="U1" s="21">
        <v>39814</v>
      </c>
      <c r="V1" s="21">
        <v>39448</v>
      </c>
      <c r="W1" s="22">
        <v>39083</v>
      </c>
    </row>
    <row r="2" spans="1:23" x14ac:dyDescent="0.25">
      <c r="A2" s="16" t="s">
        <v>4</v>
      </c>
      <c r="B2" s="23">
        <f>IFERROR((E2/F2-1), "")</f>
        <v>9.7506925207756279E-2</v>
      </c>
      <c r="C2" s="47">
        <f>E2-[1]Netherlands!E2</f>
        <v>-2934</v>
      </c>
      <c r="D2" s="1">
        <f>F2-[1]Netherlands!F2</f>
        <v>-2318</v>
      </c>
      <c r="E2" s="109">
        <v>1981</v>
      </c>
      <c r="F2" s="1">
        <v>1805</v>
      </c>
      <c r="G2" s="1">
        <v>3438</v>
      </c>
      <c r="H2" s="1">
        <v>4926</v>
      </c>
      <c r="I2" s="1">
        <v>3162.8</v>
      </c>
      <c r="J2" s="1">
        <v>4577</v>
      </c>
      <c r="K2" s="1">
        <v>4505</v>
      </c>
      <c r="L2" s="35">
        <v>1968</v>
      </c>
      <c r="M2" s="35">
        <v>4770</v>
      </c>
      <c r="N2" s="35">
        <v>7110</v>
      </c>
      <c r="O2" s="35">
        <v>7040</v>
      </c>
      <c r="P2" s="1">
        <v>6662</v>
      </c>
      <c r="Q2" s="1">
        <v>6000</v>
      </c>
      <c r="R2" s="1">
        <v>7000</v>
      </c>
      <c r="S2" s="1">
        <v>6000</v>
      </c>
      <c r="T2" s="1">
        <v>7000</v>
      </c>
      <c r="U2" s="1">
        <v>11000</v>
      </c>
      <c r="V2" s="1">
        <v>8000</v>
      </c>
      <c r="W2" s="25">
        <v>13000</v>
      </c>
    </row>
    <row r="3" spans="1:23" x14ac:dyDescent="0.25">
      <c r="A3" s="16" t="s">
        <v>2</v>
      </c>
      <c r="B3" s="23">
        <f t="shared" ref="B3:B50" si="0">IFERROR((E3/F3-1), "")</f>
        <v>0.16113090161055643</v>
      </c>
      <c r="C3" s="47">
        <f>E3-[1]Netherlands!E3</f>
        <v>-6584</v>
      </c>
      <c r="D3" s="1">
        <f>F3-[1]Netherlands!F3</f>
        <v>-7279</v>
      </c>
      <c r="E3" s="109">
        <v>46285</v>
      </c>
      <c r="F3" s="1">
        <v>39862</v>
      </c>
      <c r="G3" s="1">
        <v>52758</v>
      </c>
      <c r="H3" s="1">
        <v>60923</v>
      </c>
      <c r="I3" s="1">
        <v>43516.9</v>
      </c>
      <c r="J3" s="1">
        <v>73544</v>
      </c>
      <c r="K3" s="1">
        <v>55914</v>
      </c>
      <c r="L3" s="35">
        <v>48250</v>
      </c>
      <c r="M3" s="35">
        <v>69718</v>
      </c>
      <c r="N3" s="35">
        <v>75661</v>
      </c>
      <c r="O3" s="35">
        <v>76820</v>
      </c>
      <c r="P3" s="1">
        <v>69364</v>
      </c>
      <c r="Q3" s="1">
        <v>59000</v>
      </c>
      <c r="R3" s="1">
        <v>84000</v>
      </c>
      <c r="S3" s="1">
        <v>65000</v>
      </c>
      <c r="T3" s="1">
        <v>102000</v>
      </c>
      <c r="U3" s="1">
        <v>82000</v>
      </c>
      <c r="V3" s="1">
        <v>77000</v>
      </c>
      <c r="W3" s="25">
        <v>60000</v>
      </c>
    </row>
    <row r="4" spans="1:23" x14ac:dyDescent="0.25">
      <c r="A4" s="16" t="s">
        <v>3</v>
      </c>
      <c r="B4" s="23">
        <f t="shared" si="0"/>
        <v>-0.30603889457523026</v>
      </c>
      <c r="C4" s="47">
        <f>E4-[1]Netherlands!E4</f>
        <v>-304</v>
      </c>
      <c r="D4" s="1">
        <f>F4-[1]Netherlands!F4</f>
        <v>-165</v>
      </c>
      <c r="E4" s="109">
        <v>2034</v>
      </c>
      <c r="F4" s="1">
        <v>2931</v>
      </c>
      <c r="G4" s="1">
        <v>3754</v>
      </c>
      <c r="H4" s="1">
        <v>3761</v>
      </c>
      <c r="I4" s="1">
        <v>4317.3999999999996</v>
      </c>
      <c r="J4" s="1">
        <v>6129</v>
      </c>
      <c r="K4" s="1">
        <v>7238</v>
      </c>
      <c r="L4" s="35">
        <v>7776</v>
      </c>
      <c r="M4" s="35">
        <v>9239</v>
      </c>
      <c r="N4" s="35">
        <v>14312</v>
      </c>
      <c r="O4" s="35">
        <v>15927</v>
      </c>
      <c r="P4" s="1">
        <v>18874</v>
      </c>
      <c r="Q4" s="1">
        <v>17000</v>
      </c>
      <c r="R4" s="1">
        <v>17000</v>
      </c>
      <c r="S4" s="1">
        <v>14000</v>
      </c>
      <c r="T4" s="1">
        <v>14000</v>
      </c>
      <c r="U4" s="1">
        <v>18000</v>
      </c>
      <c r="V4" s="1">
        <v>18000</v>
      </c>
      <c r="W4" s="25">
        <v>19000</v>
      </c>
    </row>
    <row r="5" spans="1:23" x14ac:dyDescent="0.25">
      <c r="A5" s="16" t="s">
        <v>107</v>
      </c>
      <c r="B5" s="23">
        <f t="shared" si="0"/>
        <v>5.7781201848998709E-3</v>
      </c>
      <c r="C5" s="47">
        <f>E5-[1]Netherlands!E5</f>
        <v>-3235</v>
      </c>
      <c r="D5" s="1">
        <f>F5-[1]Netherlands!F5</f>
        <v>-2814</v>
      </c>
      <c r="E5" s="109">
        <v>31332</v>
      </c>
      <c r="F5" s="1">
        <v>31152</v>
      </c>
      <c r="G5" s="1">
        <v>38885</v>
      </c>
      <c r="H5" s="1">
        <v>39970</v>
      </c>
      <c r="I5" s="1">
        <v>33926</v>
      </c>
      <c r="J5" s="1">
        <v>49467</v>
      </c>
      <c r="K5" s="1">
        <v>49878</v>
      </c>
      <c r="L5" s="35">
        <v>40364</v>
      </c>
      <c r="M5" s="135">
        <v>66680</v>
      </c>
      <c r="N5" s="135">
        <v>63857</v>
      </c>
      <c r="O5" s="135">
        <v>69114</v>
      </c>
      <c r="P5" s="80">
        <v>71965</v>
      </c>
      <c r="Q5" s="80">
        <v>65000</v>
      </c>
      <c r="R5" s="80">
        <v>105000</v>
      </c>
      <c r="S5" s="80">
        <v>66000</v>
      </c>
      <c r="T5" s="80">
        <v>98000</v>
      </c>
      <c r="U5" s="80">
        <v>94000</v>
      </c>
      <c r="V5" s="1">
        <v>99000</v>
      </c>
      <c r="W5" s="25">
        <v>90000</v>
      </c>
    </row>
    <row r="6" spans="1:23" x14ac:dyDescent="0.25">
      <c r="A6" s="122" t="s">
        <v>135</v>
      </c>
      <c r="B6" s="23">
        <f t="shared" si="0"/>
        <v>-0.19730208475269106</v>
      </c>
      <c r="C6" s="47">
        <f>E6-[1]Netherlands!E6</f>
        <v>-3535</v>
      </c>
      <c r="D6" s="1">
        <f>F6-[1]Netherlands!F6</f>
        <v>-2610</v>
      </c>
      <c r="E6" s="109">
        <v>17673</v>
      </c>
      <c r="F6" s="1">
        <v>22017</v>
      </c>
      <c r="G6" s="1">
        <v>27881</v>
      </c>
      <c r="H6" s="1">
        <v>31856</v>
      </c>
      <c r="I6" s="1">
        <v>30402.3</v>
      </c>
      <c r="J6" s="1">
        <v>30172</v>
      </c>
      <c r="K6" s="1">
        <v>30359</v>
      </c>
      <c r="L6" s="35">
        <v>18953</v>
      </c>
      <c r="M6" s="135">
        <v>27745</v>
      </c>
      <c r="N6" s="135">
        <v>25513</v>
      </c>
      <c r="O6" s="135">
        <v>25238</v>
      </c>
      <c r="P6" s="80">
        <v>22567</v>
      </c>
      <c r="Q6" s="80"/>
      <c r="R6" s="80"/>
      <c r="S6" s="80"/>
      <c r="T6" s="80"/>
      <c r="U6" s="80"/>
      <c r="V6" s="1"/>
      <c r="W6" s="25"/>
    </row>
    <row r="7" spans="1:23" ht="13.8" thickBot="1" x14ac:dyDescent="0.3">
      <c r="A7" s="26" t="s">
        <v>59</v>
      </c>
      <c r="B7" s="24">
        <f t="shared" si="0"/>
        <v>0.12870424171993022</v>
      </c>
      <c r="C7" s="48">
        <f>E7-[1]Netherlands!E7</f>
        <v>-980</v>
      </c>
      <c r="D7" s="9">
        <f>F7-[1]Netherlands!F7</f>
        <v>-663</v>
      </c>
      <c r="E7" s="126">
        <v>3885</v>
      </c>
      <c r="F7" s="9">
        <v>3442</v>
      </c>
      <c r="G7" s="9">
        <v>4155</v>
      </c>
      <c r="H7" s="9">
        <v>5585</v>
      </c>
      <c r="I7" s="9">
        <v>8655.9</v>
      </c>
      <c r="J7" s="9">
        <v>8617</v>
      </c>
      <c r="K7" s="9">
        <v>9030</v>
      </c>
      <c r="L7" s="34">
        <v>7677</v>
      </c>
      <c r="M7" s="134">
        <v>8527</v>
      </c>
      <c r="N7" s="134">
        <v>7562</v>
      </c>
      <c r="O7" s="134">
        <v>8623</v>
      </c>
      <c r="P7" s="81">
        <v>7183</v>
      </c>
      <c r="Q7" s="81">
        <v>29000</v>
      </c>
      <c r="R7" s="81">
        <v>31000</v>
      </c>
      <c r="S7" s="81">
        <v>28000</v>
      </c>
      <c r="T7" s="81">
        <v>21000</v>
      </c>
      <c r="U7" s="81">
        <v>10000</v>
      </c>
      <c r="V7" s="9">
        <v>8000</v>
      </c>
      <c r="W7" s="27">
        <v>13000</v>
      </c>
    </row>
    <row r="8" spans="1:23" ht="13.8" thickBot="1" x14ac:dyDescent="0.3">
      <c r="A8" s="28" t="s">
        <v>23</v>
      </c>
      <c r="B8" s="29">
        <f t="shared" si="0"/>
        <v>1.9573358100564153E-2</v>
      </c>
      <c r="C8" s="49">
        <f>E8-[1]Netherlands!E8</f>
        <v>-17572</v>
      </c>
      <c r="D8" s="30">
        <f>F8-[1]Netherlands!F8</f>
        <v>-15849</v>
      </c>
      <c r="E8" s="102">
        <f t="shared" ref="E8:K8" si="1">SUM(E2:E7)</f>
        <v>103190</v>
      </c>
      <c r="F8" s="30">
        <f t="shared" si="1"/>
        <v>101209</v>
      </c>
      <c r="G8" s="30">
        <f t="shared" si="1"/>
        <v>130871</v>
      </c>
      <c r="H8" s="30">
        <f t="shared" si="1"/>
        <v>147021</v>
      </c>
      <c r="I8" s="30">
        <f t="shared" si="1"/>
        <v>123981.3</v>
      </c>
      <c r="J8" s="30">
        <f t="shared" si="1"/>
        <v>172506</v>
      </c>
      <c r="K8" s="30">
        <f t="shared" si="1"/>
        <v>156924</v>
      </c>
      <c r="L8" s="30">
        <f t="shared" ref="L8:Q8" si="2">SUM(L2:L7)</f>
        <v>124988</v>
      </c>
      <c r="M8" s="30">
        <f t="shared" si="2"/>
        <v>186679</v>
      </c>
      <c r="N8" s="30">
        <f t="shared" si="2"/>
        <v>194015</v>
      </c>
      <c r="O8" s="30">
        <f t="shared" si="2"/>
        <v>202762</v>
      </c>
      <c r="P8" s="30">
        <f t="shared" si="2"/>
        <v>196615</v>
      </c>
      <c r="Q8" s="30">
        <f t="shared" si="2"/>
        <v>176000</v>
      </c>
      <c r="R8" s="30">
        <f t="shared" ref="R8:W8" si="3">SUM(R2:R7)</f>
        <v>244000</v>
      </c>
      <c r="S8" s="30">
        <f t="shared" si="3"/>
        <v>179000</v>
      </c>
      <c r="T8" s="30">
        <f t="shared" si="3"/>
        <v>242000</v>
      </c>
      <c r="U8" s="30">
        <f t="shared" si="3"/>
        <v>215000</v>
      </c>
      <c r="V8" s="30">
        <f t="shared" si="3"/>
        <v>210000</v>
      </c>
      <c r="W8" s="31">
        <f t="shared" si="3"/>
        <v>195000</v>
      </c>
    </row>
    <row r="9" spans="1:23" x14ac:dyDescent="0.25">
      <c r="B9" s="32" t="str">
        <f t="shared" si="0"/>
        <v/>
      </c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</row>
    <row r="10" spans="1:23" ht="13.8" thickBot="1" x14ac:dyDescent="0.3">
      <c r="B10" s="32" t="str">
        <f t="shared" si="0"/>
        <v/>
      </c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</row>
    <row r="11" spans="1:23" ht="13.8" thickBot="1" x14ac:dyDescent="0.3">
      <c r="A11" s="19" t="s">
        <v>25</v>
      </c>
      <c r="B11" s="20" t="s">
        <v>182</v>
      </c>
      <c r="C11" s="46" t="s">
        <v>183</v>
      </c>
      <c r="D11" s="79" t="s">
        <v>180</v>
      </c>
      <c r="E11" s="127">
        <v>45658</v>
      </c>
      <c r="F11" s="82">
        <v>45292</v>
      </c>
      <c r="G11" s="82">
        <v>44927</v>
      </c>
      <c r="H11" s="82">
        <v>44562</v>
      </c>
      <c r="I11" s="82">
        <v>44197</v>
      </c>
      <c r="J11" s="82">
        <v>43831</v>
      </c>
      <c r="K11" s="82">
        <v>43466</v>
      </c>
      <c r="L11" s="21">
        <v>43101</v>
      </c>
      <c r="M11" s="21">
        <v>42736</v>
      </c>
      <c r="N11" s="21">
        <f>N1</f>
        <v>42370</v>
      </c>
      <c r="O11" s="21">
        <f>O1</f>
        <v>42005</v>
      </c>
      <c r="P11" s="21">
        <v>41640</v>
      </c>
      <c r="Q11" s="21">
        <v>41275</v>
      </c>
      <c r="R11" s="21">
        <v>40909</v>
      </c>
      <c r="S11" s="21">
        <v>40544</v>
      </c>
      <c r="T11" s="21">
        <v>40179</v>
      </c>
      <c r="U11" s="21">
        <v>39814</v>
      </c>
      <c r="V11" s="21">
        <v>39448</v>
      </c>
      <c r="W11" s="22">
        <v>39083</v>
      </c>
    </row>
    <row r="12" spans="1:23" x14ac:dyDescent="0.25">
      <c r="A12" s="16" t="s">
        <v>7</v>
      </c>
      <c r="B12" s="23">
        <f t="shared" si="0"/>
        <v>-7.5562969140950842E-2</v>
      </c>
      <c r="C12" s="47">
        <f>E12-[1]Netherlands!E12</f>
        <v>-18047</v>
      </c>
      <c r="D12" s="1">
        <f>F12-[1]Netherlands!F12</f>
        <v>-21146</v>
      </c>
      <c r="E12" s="109">
        <v>171802</v>
      </c>
      <c r="F12" s="1">
        <v>185845</v>
      </c>
      <c r="G12" s="1">
        <v>180066</v>
      </c>
      <c r="H12" s="1">
        <v>171172</v>
      </c>
      <c r="I12" s="1">
        <v>197179.6</v>
      </c>
      <c r="J12" s="1">
        <v>175000</v>
      </c>
      <c r="K12" s="1">
        <v>194025</v>
      </c>
      <c r="L12" s="35">
        <v>170195</v>
      </c>
      <c r="M12" s="1">
        <v>181570</v>
      </c>
      <c r="N12" s="1">
        <v>176917</v>
      </c>
      <c r="O12" s="1">
        <v>169361</v>
      </c>
      <c r="P12" s="1">
        <v>171113</v>
      </c>
      <c r="Q12" s="1">
        <v>96000</v>
      </c>
      <c r="R12" s="1">
        <v>150000</v>
      </c>
      <c r="S12" s="1">
        <v>118000</v>
      </c>
      <c r="T12" s="1">
        <v>140000</v>
      </c>
      <c r="U12" s="1">
        <v>64000</v>
      </c>
      <c r="V12" s="1">
        <v>96000</v>
      </c>
      <c r="W12" s="25">
        <v>91000</v>
      </c>
    </row>
    <row r="13" spans="1:23" x14ac:dyDescent="0.25">
      <c r="A13" s="16" t="s">
        <v>100</v>
      </c>
      <c r="B13" s="23">
        <f t="shared" si="0"/>
        <v>-0.35609587859975855</v>
      </c>
      <c r="C13" s="47">
        <f>E13-[1]Netherlands!E13</f>
        <v>-1766</v>
      </c>
      <c r="D13" s="1">
        <f>F13-[1]Netherlands!F13</f>
        <v>-2317</v>
      </c>
      <c r="E13" s="109">
        <v>3734</v>
      </c>
      <c r="F13" s="1">
        <v>5799</v>
      </c>
      <c r="G13" s="1">
        <v>5092</v>
      </c>
      <c r="H13" s="1">
        <v>4758</v>
      </c>
      <c r="I13" s="1">
        <v>8494.7000000000007</v>
      </c>
      <c r="J13" s="1">
        <v>9000</v>
      </c>
      <c r="K13" s="1">
        <v>10846</v>
      </c>
      <c r="L13" s="35">
        <v>4319</v>
      </c>
      <c r="M13" s="1">
        <v>10829</v>
      </c>
      <c r="N13" s="1">
        <v>9477</v>
      </c>
      <c r="O13" s="1">
        <v>9226</v>
      </c>
      <c r="P13" s="1">
        <v>9816</v>
      </c>
      <c r="Q13" s="1">
        <v>3000</v>
      </c>
      <c r="R13" s="1">
        <v>9000</v>
      </c>
      <c r="S13" s="1">
        <v>8000</v>
      </c>
      <c r="T13" s="1">
        <v>9000</v>
      </c>
      <c r="U13" s="1">
        <v>6000</v>
      </c>
      <c r="V13" s="1">
        <v>9000</v>
      </c>
      <c r="W13" s="25">
        <v>7000</v>
      </c>
    </row>
    <row r="14" spans="1:23" ht="13.8" thickBot="1" x14ac:dyDescent="0.3">
      <c r="A14" s="26" t="s">
        <v>6</v>
      </c>
      <c r="B14" s="24">
        <f t="shared" si="0"/>
        <v>-0.12900183099373019</v>
      </c>
      <c r="C14" s="48">
        <f>E14-[1]Netherlands!E14</f>
        <v>-7890</v>
      </c>
      <c r="D14" s="9">
        <f>F14-[1]Netherlands!F14</f>
        <v>-4678</v>
      </c>
      <c r="E14" s="126">
        <v>15698</v>
      </c>
      <c r="F14" s="9">
        <v>18023</v>
      </c>
      <c r="G14" s="9">
        <v>19048</v>
      </c>
      <c r="H14" s="9">
        <v>17370</v>
      </c>
      <c r="I14" s="9">
        <v>18568.2</v>
      </c>
      <c r="J14" s="9">
        <v>16000</v>
      </c>
      <c r="K14" s="9">
        <v>16989</v>
      </c>
      <c r="L14" s="34">
        <v>9406</v>
      </c>
      <c r="M14" s="9">
        <v>15857</v>
      </c>
      <c r="N14" s="9">
        <v>15475</v>
      </c>
      <c r="O14" s="9">
        <v>15374</v>
      </c>
      <c r="P14" s="9">
        <v>13316</v>
      </c>
      <c r="Q14" s="9">
        <v>3000</v>
      </c>
      <c r="R14" s="9">
        <v>4000</v>
      </c>
      <c r="S14" s="9">
        <v>4000</v>
      </c>
      <c r="T14" s="9">
        <v>5000</v>
      </c>
      <c r="U14" s="9">
        <v>2000</v>
      </c>
      <c r="V14" s="9">
        <v>2000</v>
      </c>
      <c r="W14" s="27">
        <v>2000</v>
      </c>
    </row>
    <row r="15" spans="1:23" ht="13.8" thickBot="1" x14ac:dyDescent="0.3">
      <c r="A15" s="28" t="s">
        <v>23</v>
      </c>
      <c r="B15" s="29">
        <f t="shared" si="0"/>
        <v>-8.7915599498252006E-2</v>
      </c>
      <c r="C15" s="49">
        <f>E15-[1]Netherlands!E15</f>
        <v>-27703</v>
      </c>
      <c r="D15" s="30">
        <f>F15-[1]Netherlands!F15</f>
        <v>-28141</v>
      </c>
      <c r="E15" s="102">
        <f t="shared" ref="E15:K15" si="4">SUM(E12:E14)</f>
        <v>191234</v>
      </c>
      <c r="F15" s="30">
        <f t="shared" si="4"/>
        <v>209667</v>
      </c>
      <c r="G15" s="30">
        <f t="shared" si="4"/>
        <v>204206</v>
      </c>
      <c r="H15" s="30">
        <f t="shared" si="4"/>
        <v>193300</v>
      </c>
      <c r="I15" s="30">
        <f t="shared" si="4"/>
        <v>224242.50000000003</v>
      </c>
      <c r="J15" s="30">
        <f t="shared" si="4"/>
        <v>200000</v>
      </c>
      <c r="K15" s="30">
        <f t="shared" si="4"/>
        <v>221860</v>
      </c>
      <c r="L15" s="30">
        <f t="shared" ref="L15:Q15" si="5">SUM(L12:L14)</f>
        <v>183920</v>
      </c>
      <c r="M15" s="30">
        <f t="shared" si="5"/>
        <v>208256</v>
      </c>
      <c r="N15" s="30">
        <f t="shared" si="5"/>
        <v>201869</v>
      </c>
      <c r="O15" s="30">
        <f t="shared" si="5"/>
        <v>193961</v>
      </c>
      <c r="P15" s="30">
        <f t="shared" si="5"/>
        <v>194245</v>
      </c>
      <c r="Q15" s="30">
        <f t="shared" si="5"/>
        <v>102000</v>
      </c>
      <c r="R15" s="30">
        <f t="shared" ref="R15:W15" si="6">SUM(R12:R14)</f>
        <v>163000</v>
      </c>
      <c r="S15" s="30">
        <f t="shared" si="6"/>
        <v>130000</v>
      </c>
      <c r="T15" s="30">
        <f t="shared" si="6"/>
        <v>154000</v>
      </c>
      <c r="U15" s="30">
        <f t="shared" si="6"/>
        <v>72000</v>
      </c>
      <c r="V15" s="30">
        <f t="shared" si="6"/>
        <v>107000</v>
      </c>
      <c r="W15" s="31">
        <f t="shared" si="6"/>
        <v>100000</v>
      </c>
    </row>
    <row r="16" spans="1:23" x14ac:dyDescent="0.25">
      <c r="B16" t="str">
        <f t="shared" si="0"/>
        <v/>
      </c>
    </row>
    <row r="17" spans="2:2" x14ac:dyDescent="0.25">
      <c r="B17" t="str">
        <f t="shared" si="0"/>
        <v/>
      </c>
    </row>
    <row r="18" spans="2:2" x14ac:dyDescent="0.25">
      <c r="B18" t="str">
        <f t="shared" si="0"/>
        <v/>
      </c>
    </row>
    <row r="19" spans="2:2" x14ac:dyDescent="0.25">
      <c r="B19" t="str">
        <f t="shared" si="0"/>
        <v/>
      </c>
    </row>
    <row r="20" spans="2:2" x14ac:dyDescent="0.25">
      <c r="B20" t="str">
        <f t="shared" si="0"/>
        <v/>
      </c>
    </row>
    <row r="21" spans="2:2" x14ac:dyDescent="0.25">
      <c r="B21" t="str">
        <f t="shared" si="0"/>
        <v/>
      </c>
    </row>
    <row r="22" spans="2:2" x14ac:dyDescent="0.25">
      <c r="B22" t="str">
        <f t="shared" si="0"/>
        <v/>
      </c>
    </row>
    <row r="23" spans="2:2" x14ac:dyDescent="0.25">
      <c r="B23" t="str">
        <f t="shared" si="0"/>
        <v/>
      </c>
    </row>
    <row r="24" spans="2:2" x14ac:dyDescent="0.25">
      <c r="B24" t="str">
        <f t="shared" si="0"/>
        <v/>
      </c>
    </row>
    <row r="25" spans="2:2" x14ac:dyDescent="0.25">
      <c r="B25" t="str">
        <f t="shared" si="0"/>
        <v/>
      </c>
    </row>
    <row r="26" spans="2:2" x14ac:dyDescent="0.25">
      <c r="B26" t="str">
        <f t="shared" si="0"/>
        <v/>
      </c>
    </row>
    <row r="27" spans="2:2" x14ac:dyDescent="0.25">
      <c r="B27" t="str">
        <f t="shared" si="0"/>
        <v/>
      </c>
    </row>
    <row r="28" spans="2:2" x14ac:dyDescent="0.25">
      <c r="B28" t="str">
        <f t="shared" si="0"/>
        <v/>
      </c>
    </row>
    <row r="29" spans="2:2" x14ac:dyDescent="0.25">
      <c r="B29" t="str">
        <f t="shared" si="0"/>
        <v/>
      </c>
    </row>
    <row r="30" spans="2:2" x14ac:dyDescent="0.25">
      <c r="B30" t="str">
        <f t="shared" si="0"/>
        <v/>
      </c>
    </row>
    <row r="31" spans="2:2" x14ac:dyDescent="0.25">
      <c r="B31" t="str">
        <f t="shared" si="0"/>
        <v/>
      </c>
    </row>
    <row r="32" spans="2:2" x14ac:dyDescent="0.25">
      <c r="B32" t="str">
        <f t="shared" si="0"/>
        <v/>
      </c>
    </row>
    <row r="33" spans="2:2" x14ac:dyDescent="0.25">
      <c r="B33" t="str">
        <f t="shared" si="0"/>
        <v/>
      </c>
    </row>
    <row r="34" spans="2:2" x14ac:dyDescent="0.25">
      <c r="B34" t="str">
        <f t="shared" si="0"/>
        <v/>
      </c>
    </row>
    <row r="35" spans="2:2" x14ac:dyDescent="0.25">
      <c r="B35" t="str">
        <f t="shared" si="0"/>
        <v/>
      </c>
    </row>
    <row r="36" spans="2:2" x14ac:dyDescent="0.25">
      <c r="B36" t="str">
        <f t="shared" si="0"/>
        <v/>
      </c>
    </row>
    <row r="37" spans="2:2" x14ac:dyDescent="0.25">
      <c r="B37" t="str">
        <f t="shared" si="0"/>
        <v/>
      </c>
    </row>
    <row r="38" spans="2:2" x14ac:dyDescent="0.25">
      <c r="B38" t="str">
        <f t="shared" si="0"/>
        <v/>
      </c>
    </row>
    <row r="39" spans="2:2" x14ac:dyDescent="0.25">
      <c r="B39" t="str">
        <f t="shared" si="0"/>
        <v/>
      </c>
    </row>
    <row r="40" spans="2:2" x14ac:dyDescent="0.25">
      <c r="B40" t="str">
        <f t="shared" si="0"/>
        <v/>
      </c>
    </row>
    <row r="41" spans="2:2" x14ac:dyDescent="0.25">
      <c r="B41" t="str">
        <f t="shared" si="0"/>
        <v/>
      </c>
    </row>
    <row r="42" spans="2:2" x14ac:dyDescent="0.25">
      <c r="B42" t="str">
        <f t="shared" si="0"/>
        <v/>
      </c>
    </row>
    <row r="43" spans="2:2" x14ac:dyDescent="0.25">
      <c r="B43" t="str">
        <f t="shared" si="0"/>
        <v/>
      </c>
    </row>
    <row r="44" spans="2:2" x14ac:dyDescent="0.25">
      <c r="B44" t="str">
        <f t="shared" si="0"/>
        <v/>
      </c>
    </row>
    <row r="45" spans="2:2" x14ac:dyDescent="0.25">
      <c r="B45" t="str">
        <f t="shared" si="0"/>
        <v/>
      </c>
    </row>
    <row r="46" spans="2:2" x14ac:dyDescent="0.25">
      <c r="B46" t="str">
        <f t="shared" si="0"/>
        <v/>
      </c>
    </row>
    <row r="47" spans="2:2" x14ac:dyDescent="0.25">
      <c r="B47" t="str">
        <f t="shared" si="0"/>
        <v/>
      </c>
    </row>
    <row r="48" spans="2:2" x14ac:dyDescent="0.25">
      <c r="B48" t="str">
        <f t="shared" si="0"/>
        <v/>
      </c>
    </row>
    <row r="49" spans="2:2" x14ac:dyDescent="0.25">
      <c r="B49" t="str">
        <f t="shared" si="0"/>
        <v/>
      </c>
    </row>
    <row r="50" spans="2:2" x14ac:dyDescent="0.25">
      <c r="B50" t="str">
        <f t="shared" si="0"/>
        <v/>
      </c>
    </row>
  </sheetData>
  <pageMargins left="0.75" right="0.75" top="1" bottom="1" header="0.5" footer="0.5"/>
  <pageSetup paperSize="9" orientation="portrait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X50"/>
  <sheetViews>
    <sheetView zoomScaleNormal="100" workbookViewId="0"/>
  </sheetViews>
  <sheetFormatPr defaultColWidth="9.109375" defaultRowHeight="13.2" x14ac:dyDescent="0.25"/>
  <cols>
    <col min="1" max="1" width="24.6640625" customWidth="1"/>
    <col min="2" max="2" width="10.6640625" customWidth="1"/>
    <col min="3" max="12" width="11.44140625" customWidth="1"/>
    <col min="13" max="23" width="10.109375" bestFit="1" customWidth="1"/>
  </cols>
  <sheetData>
    <row r="1" spans="1:24" ht="13.8" thickBot="1" x14ac:dyDescent="0.3">
      <c r="A1" s="36" t="s">
        <v>91</v>
      </c>
      <c r="B1" s="20" t="s">
        <v>182</v>
      </c>
      <c r="C1" s="46" t="s">
        <v>183</v>
      </c>
      <c r="D1" s="79" t="s">
        <v>180</v>
      </c>
      <c r="E1" s="127">
        <v>45658</v>
      </c>
      <c r="F1" s="82">
        <v>45292</v>
      </c>
      <c r="G1" s="82">
        <v>44927</v>
      </c>
      <c r="H1" s="82">
        <v>44562</v>
      </c>
      <c r="I1" s="82">
        <v>44197</v>
      </c>
      <c r="J1" s="82">
        <v>43831</v>
      </c>
      <c r="K1" s="82">
        <v>43466</v>
      </c>
      <c r="L1" s="21">
        <v>43101</v>
      </c>
      <c r="M1" s="21">
        <v>42736</v>
      </c>
      <c r="N1" s="21">
        <v>42370</v>
      </c>
      <c r="O1" s="21">
        <v>42005</v>
      </c>
      <c r="P1" s="21">
        <v>41640</v>
      </c>
      <c r="Q1" s="21">
        <v>41275</v>
      </c>
      <c r="R1" s="21">
        <v>40909</v>
      </c>
      <c r="S1" s="21">
        <v>40544</v>
      </c>
      <c r="T1" s="21">
        <v>40179</v>
      </c>
      <c r="U1" s="21">
        <v>39814</v>
      </c>
      <c r="V1" s="21">
        <v>39448</v>
      </c>
      <c r="W1" s="22">
        <v>39083</v>
      </c>
    </row>
    <row r="2" spans="1:24" x14ac:dyDescent="0.25">
      <c r="A2" s="37" t="s">
        <v>11</v>
      </c>
      <c r="B2" s="44">
        <f>IFERROR((E2/F2-1), "")</f>
        <v>0.51890424793284096</v>
      </c>
      <c r="C2" s="75">
        <f>E2-[1]UK!E2</f>
        <v>-4029</v>
      </c>
      <c r="D2" s="1"/>
      <c r="E2" s="109">
        <v>24064</v>
      </c>
      <c r="F2" s="1">
        <v>15843</v>
      </c>
      <c r="G2" s="1">
        <v>24565</v>
      </c>
      <c r="H2" s="1">
        <v>20825</v>
      </c>
      <c r="I2" s="1">
        <v>16131</v>
      </c>
      <c r="J2" s="1">
        <v>20600</v>
      </c>
      <c r="K2" s="35">
        <v>20810</v>
      </c>
      <c r="L2" s="35">
        <v>11036</v>
      </c>
      <c r="M2" s="35">
        <v>21040</v>
      </c>
      <c r="N2" s="35">
        <v>20700</v>
      </c>
      <c r="O2" s="35">
        <v>21000</v>
      </c>
      <c r="P2" s="35">
        <v>21100</v>
      </c>
      <c r="Q2" s="35">
        <v>8500</v>
      </c>
      <c r="R2" s="35">
        <v>16000</v>
      </c>
      <c r="S2" s="35">
        <v>11500</v>
      </c>
      <c r="T2" s="35">
        <v>17500</v>
      </c>
      <c r="U2" s="35">
        <v>8000</v>
      </c>
      <c r="V2" s="35">
        <v>8000</v>
      </c>
      <c r="W2" s="65">
        <v>5000</v>
      </c>
    </row>
    <row r="3" spans="1:24" x14ac:dyDescent="0.25">
      <c r="A3" s="37" t="s">
        <v>36</v>
      </c>
      <c r="B3" s="44">
        <f t="shared" ref="B3:B50" si="0">IFERROR((E3/F3-1), "")</f>
        <v>0.84093941820122775</v>
      </c>
      <c r="C3" s="75">
        <f>E3-[1]UK!E3</f>
        <v>-1078</v>
      </c>
      <c r="D3" s="35"/>
      <c r="E3" s="40">
        <v>6898</v>
      </c>
      <c r="F3" s="35">
        <v>3747</v>
      </c>
      <c r="G3" s="35">
        <v>8222</v>
      </c>
      <c r="H3" s="35">
        <v>22939</v>
      </c>
      <c r="I3" s="35">
        <v>29642</v>
      </c>
      <c r="J3" s="35">
        <v>31734</v>
      </c>
      <c r="K3" s="35">
        <v>41987</v>
      </c>
      <c r="L3" s="35">
        <v>40162</v>
      </c>
      <c r="M3" s="35">
        <v>41420</v>
      </c>
      <c r="N3" s="35">
        <v>37000</v>
      </c>
      <c r="O3" s="35">
        <v>53000</v>
      </c>
      <c r="P3" s="35">
        <v>49000</v>
      </c>
      <c r="Q3" s="35">
        <v>24000</v>
      </c>
      <c r="R3" s="35">
        <v>53000</v>
      </c>
      <c r="S3" s="35">
        <v>62000</v>
      </c>
      <c r="T3" s="35">
        <v>54000</v>
      </c>
      <c r="U3" s="35">
        <v>51000</v>
      </c>
      <c r="V3" s="35">
        <v>47000</v>
      </c>
      <c r="W3" s="65">
        <v>51000</v>
      </c>
    </row>
    <row r="4" spans="1:24" x14ac:dyDescent="0.25">
      <c r="A4" s="37" t="s">
        <v>29</v>
      </c>
      <c r="B4" s="44">
        <f t="shared" si="0"/>
        <v>0.73729657920956493</v>
      </c>
      <c r="C4" s="75">
        <f>E4-[1]UK!E4</f>
        <v>-298</v>
      </c>
      <c r="D4" s="35"/>
      <c r="E4" s="40">
        <v>5231</v>
      </c>
      <c r="F4" s="35">
        <v>3011</v>
      </c>
      <c r="G4" s="35">
        <v>5528</v>
      </c>
      <c r="H4" s="35">
        <v>4231</v>
      </c>
      <c r="I4" s="35">
        <v>4308</v>
      </c>
      <c r="J4" s="35">
        <v>2933</v>
      </c>
      <c r="K4" s="35">
        <v>2285</v>
      </c>
      <c r="L4" s="35"/>
      <c r="M4" s="35"/>
      <c r="N4" s="35">
        <v>1600</v>
      </c>
      <c r="O4" s="35">
        <v>0</v>
      </c>
      <c r="P4" s="35">
        <v>1700</v>
      </c>
      <c r="Q4" s="35"/>
      <c r="R4" s="35"/>
      <c r="S4" s="35">
        <v>1500</v>
      </c>
      <c r="T4" s="35">
        <v>1200</v>
      </c>
      <c r="U4" s="35">
        <v>1000</v>
      </c>
      <c r="V4" s="35"/>
      <c r="W4" s="65"/>
    </row>
    <row r="5" spans="1:24" x14ac:dyDescent="0.25">
      <c r="A5" s="37" t="s">
        <v>5</v>
      </c>
      <c r="B5" s="44">
        <f t="shared" si="0"/>
        <v>2.7277227722772279</v>
      </c>
      <c r="C5" s="75">
        <f>E5-[1]UK!E5</f>
        <v>-951</v>
      </c>
      <c r="D5" s="35"/>
      <c r="E5" s="40">
        <v>753</v>
      </c>
      <c r="F5" s="35">
        <v>202</v>
      </c>
      <c r="G5" s="35">
        <v>3510</v>
      </c>
      <c r="H5" s="35">
        <v>2636</v>
      </c>
      <c r="I5" s="35">
        <v>3191</v>
      </c>
      <c r="J5" s="35">
        <v>4295</v>
      </c>
      <c r="K5" s="35">
        <v>6461</v>
      </c>
      <c r="L5" s="35">
        <v>4254</v>
      </c>
      <c r="M5" s="35">
        <v>8533</v>
      </c>
      <c r="N5" s="35">
        <v>15200</v>
      </c>
      <c r="O5" s="35">
        <v>8500</v>
      </c>
      <c r="P5" s="35">
        <v>20500</v>
      </c>
      <c r="Q5" s="35">
        <v>10000</v>
      </c>
      <c r="R5" s="35">
        <v>14000</v>
      </c>
      <c r="S5" s="35">
        <v>19000</v>
      </c>
      <c r="T5" s="35">
        <v>19500</v>
      </c>
      <c r="U5" s="35">
        <v>20000</v>
      </c>
      <c r="V5" s="35">
        <v>21000</v>
      </c>
      <c r="W5" s="65">
        <v>16000</v>
      </c>
    </row>
    <row r="6" spans="1:24" x14ac:dyDescent="0.25">
      <c r="A6" s="37" t="s">
        <v>9</v>
      </c>
      <c r="B6" s="44">
        <f t="shared" si="0"/>
        <v>8.4488527724665419E-2</v>
      </c>
      <c r="C6" s="75">
        <f>E6-[1]UK!E6</f>
        <v>-6847</v>
      </c>
      <c r="D6" s="35"/>
      <c r="E6" s="40">
        <v>45375</v>
      </c>
      <c r="F6" s="35">
        <v>41840</v>
      </c>
      <c r="G6" s="35">
        <v>55029</v>
      </c>
      <c r="H6" s="35">
        <v>39730</v>
      </c>
      <c r="I6" s="35">
        <v>32692</v>
      </c>
      <c r="J6" s="35">
        <v>38201</v>
      </c>
      <c r="K6" s="35">
        <v>36835</v>
      </c>
      <c r="L6" s="35">
        <v>28017</v>
      </c>
      <c r="M6" s="35">
        <v>25960</v>
      </c>
      <c r="N6" s="35">
        <v>35900</v>
      </c>
      <c r="O6" s="35">
        <v>22000</v>
      </c>
      <c r="P6" s="35">
        <v>24100</v>
      </c>
      <c r="Q6" s="35">
        <v>16500</v>
      </c>
      <c r="R6" s="35">
        <v>16000</v>
      </c>
      <c r="S6" s="35">
        <v>16000</v>
      </c>
      <c r="T6" s="35">
        <v>12000</v>
      </c>
      <c r="U6" s="35">
        <v>10000</v>
      </c>
      <c r="V6" s="35">
        <v>8000</v>
      </c>
      <c r="W6" s="65">
        <v>3000</v>
      </c>
    </row>
    <row r="7" spans="1:24" x14ac:dyDescent="0.25">
      <c r="A7" s="37" t="s">
        <v>27</v>
      </c>
      <c r="B7" s="44" t="str">
        <f t="shared" si="0"/>
        <v/>
      </c>
      <c r="C7" s="75">
        <f>E7-[1]UK!E7</f>
        <v>0</v>
      </c>
      <c r="D7" s="35"/>
      <c r="E7" s="40"/>
      <c r="F7" s="35"/>
      <c r="G7" s="35">
        <v>103</v>
      </c>
      <c r="H7" s="35">
        <v>197</v>
      </c>
      <c r="I7" s="35">
        <v>92</v>
      </c>
      <c r="J7" s="35">
        <v>145</v>
      </c>
      <c r="K7" s="35">
        <v>356</v>
      </c>
      <c r="L7" s="35"/>
      <c r="M7" s="35"/>
      <c r="N7" s="35">
        <v>0</v>
      </c>
      <c r="O7" s="35">
        <v>0</v>
      </c>
      <c r="P7" s="35">
        <v>2000</v>
      </c>
      <c r="Q7" s="35">
        <v>1000</v>
      </c>
      <c r="R7" s="35">
        <v>1000</v>
      </c>
      <c r="S7" s="35">
        <v>1000</v>
      </c>
      <c r="T7" s="35">
        <v>500</v>
      </c>
      <c r="U7" s="35">
        <v>2000</v>
      </c>
      <c r="V7" s="35">
        <v>6000</v>
      </c>
      <c r="W7" s="65">
        <v>2000</v>
      </c>
      <c r="X7" s="1"/>
    </row>
    <row r="8" spans="1:24" x14ac:dyDescent="0.25">
      <c r="A8" s="37" t="s">
        <v>26</v>
      </c>
      <c r="B8" s="44" t="str">
        <f t="shared" si="0"/>
        <v/>
      </c>
      <c r="C8" s="75">
        <f>E8-[1]UK!E8</f>
        <v>0</v>
      </c>
      <c r="D8" s="35"/>
      <c r="E8" s="40"/>
      <c r="F8" s="35"/>
      <c r="G8" s="35"/>
      <c r="H8" s="35"/>
      <c r="I8" s="35"/>
      <c r="J8" s="35"/>
      <c r="K8" s="35">
        <v>0</v>
      </c>
      <c r="L8" s="35">
        <v>429</v>
      </c>
      <c r="M8" s="35"/>
      <c r="N8" s="35">
        <v>5000</v>
      </c>
      <c r="O8" s="35">
        <v>5000</v>
      </c>
      <c r="P8" s="35">
        <v>7100</v>
      </c>
      <c r="Q8" s="35">
        <v>4000</v>
      </c>
      <c r="R8" s="35">
        <v>4000</v>
      </c>
      <c r="S8" s="35">
        <v>4000</v>
      </c>
      <c r="T8" s="35">
        <v>4000</v>
      </c>
      <c r="U8" s="35">
        <v>3000</v>
      </c>
      <c r="V8" s="35"/>
      <c r="W8" s="65"/>
    </row>
    <row r="9" spans="1:24" x14ac:dyDescent="0.25">
      <c r="A9" s="37" t="s">
        <v>35</v>
      </c>
      <c r="B9" s="44" t="str">
        <f t="shared" si="0"/>
        <v/>
      </c>
      <c r="C9" s="75">
        <f>E9-[1]UK!E9</f>
        <v>0</v>
      </c>
      <c r="D9" s="35"/>
      <c r="E9" s="40"/>
      <c r="F9" s="35"/>
      <c r="G9" s="35"/>
      <c r="H9" s="35"/>
      <c r="I9" s="35">
        <v>220</v>
      </c>
      <c r="J9" s="35">
        <v>135</v>
      </c>
      <c r="K9" s="35">
        <v>124</v>
      </c>
      <c r="L9" s="35"/>
      <c r="M9" s="35"/>
      <c r="N9" s="35">
        <v>0</v>
      </c>
      <c r="O9" s="35">
        <v>0</v>
      </c>
      <c r="P9" s="35">
        <v>0</v>
      </c>
      <c r="Q9" s="35">
        <v>0</v>
      </c>
      <c r="R9" s="35">
        <v>0</v>
      </c>
      <c r="S9" s="35">
        <v>0</v>
      </c>
      <c r="T9" s="35">
        <v>0</v>
      </c>
      <c r="U9" s="35">
        <f>SUM(X9:AA9)</f>
        <v>0</v>
      </c>
      <c r="V9" s="35"/>
      <c r="W9" s="65"/>
    </row>
    <row r="10" spans="1:24" x14ac:dyDescent="0.25">
      <c r="A10" s="37" t="s">
        <v>135</v>
      </c>
      <c r="B10" s="44" t="str">
        <f t="shared" si="0"/>
        <v/>
      </c>
      <c r="C10" s="75">
        <f>E10-[1]UK!E10</f>
        <v>0</v>
      </c>
      <c r="D10" s="35"/>
      <c r="E10" s="40"/>
      <c r="F10" s="35"/>
      <c r="G10" s="35"/>
      <c r="H10" s="35"/>
      <c r="I10" s="35">
        <v>8097</v>
      </c>
      <c r="J10" s="35">
        <v>6871</v>
      </c>
      <c r="K10" s="35">
        <v>7459</v>
      </c>
      <c r="L10" s="35">
        <v>8101</v>
      </c>
      <c r="M10" s="35"/>
      <c r="N10" s="35">
        <v>7500</v>
      </c>
      <c r="O10" s="35">
        <v>8000</v>
      </c>
      <c r="P10" s="35">
        <v>7900</v>
      </c>
      <c r="Q10" s="35">
        <v>5000</v>
      </c>
      <c r="R10" s="35">
        <v>6000</v>
      </c>
      <c r="S10" s="35">
        <v>5500</v>
      </c>
      <c r="T10" s="35">
        <v>6800</v>
      </c>
      <c r="U10" s="35"/>
      <c r="V10" s="35"/>
      <c r="W10" s="65"/>
    </row>
    <row r="11" spans="1:24" ht="13.8" thickBot="1" x14ac:dyDescent="0.3">
      <c r="A11" s="38" t="s">
        <v>6</v>
      </c>
      <c r="B11" s="45">
        <f t="shared" si="0"/>
        <v>0.15382778927264051</v>
      </c>
      <c r="C11" s="75">
        <f>E11-[1]UK!E11</f>
        <v>-3642</v>
      </c>
      <c r="D11" s="35"/>
      <c r="E11" s="40">
        <v>14499</v>
      </c>
      <c r="F11" s="35">
        <v>12566</v>
      </c>
      <c r="G11" s="35">
        <v>15411</v>
      </c>
      <c r="H11" s="35">
        <f>501+4585+724+1039+1173+83+1576+421+743+1708</f>
        <v>12553</v>
      </c>
      <c r="I11" s="35">
        <v>1081</v>
      </c>
      <c r="J11" s="35">
        <v>2987</v>
      </c>
      <c r="K11" s="35">
        <v>2198</v>
      </c>
      <c r="L11" s="35">
        <v>429</v>
      </c>
      <c r="M11" s="34">
        <v>10410</v>
      </c>
      <c r="N11" s="34">
        <v>2600</v>
      </c>
      <c r="O11" s="34">
        <v>3000</v>
      </c>
      <c r="P11" s="34">
        <v>1500</v>
      </c>
      <c r="Q11" s="34">
        <v>1000</v>
      </c>
      <c r="R11" s="34">
        <v>1000</v>
      </c>
      <c r="S11" s="34">
        <v>3000</v>
      </c>
      <c r="T11" s="34">
        <v>3300</v>
      </c>
      <c r="U11" s="34">
        <v>5000</v>
      </c>
      <c r="V11" s="34">
        <v>5500</v>
      </c>
      <c r="W11" s="66">
        <v>3000</v>
      </c>
    </row>
    <row r="12" spans="1:24" ht="13.8" thickBot="1" x14ac:dyDescent="0.3">
      <c r="A12" s="39" t="s">
        <v>92</v>
      </c>
      <c r="B12" s="78">
        <f t="shared" si="0"/>
        <v>0.25399888614021671</v>
      </c>
      <c r="C12" s="71">
        <f>E12-[1]UK!E12</f>
        <v>-16845</v>
      </c>
      <c r="D12" s="43"/>
      <c r="E12" s="42">
        <f t="shared" ref="E12:J12" si="1">SUM(E2:E11)</f>
        <v>96820</v>
      </c>
      <c r="F12" s="43">
        <f t="shared" si="1"/>
        <v>77209</v>
      </c>
      <c r="G12" s="43">
        <f t="shared" si="1"/>
        <v>112368</v>
      </c>
      <c r="H12" s="43">
        <f t="shared" si="1"/>
        <v>103111</v>
      </c>
      <c r="I12" s="43">
        <f t="shared" si="1"/>
        <v>95454</v>
      </c>
      <c r="J12" s="43">
        <f t="shared" si="1"/>
        <v>107901</v>
      </c>
      <c r="K12" s="43">
        <f t="shared" ref="K12:W12" si="2">SUM(K2:K11)</f>
        <v>118515</v>
      </c>
      <c r="L12" s="43">
        <f t="shared" si="2"/>
        <v>92428</v>
      </c>
      <c r="M12" s="43">
        <f t="shared" si="2"/>
        <v>107363</v>
      </c>
      <c r="N12" s="43">
        <f t="shared" si="2"/>
        <v>125500</v>
      </c>
      <c r="O12" s="43">
        <f t="shared" si="2"/>
        <v>120500</v>
      </c>
      <c r="P12" s="43">
        <f t="shared" si="2"/>
        <v>134900</v>
      </c>
      <c r="Q12" s="43">
        <f t="shared" si="2"/>
        <v>70000</v>
      </c>
      <c r="R12" s="43">
        <f t="shared" si="2"/>
        <v>111000</v>
      </c>
      <c r="S12" s="43">
        <f t="shared" si="2"/>
        <v>123500</v>
      </c>
      <c r="T12" s="43">
        <f t="shared" si="2"/>
        <v>118800</v>
      </c>
      <c r="U12" s="43">
        <f t="shared" si="2"/>
        <v>100000</v>
      </c>
      <c r="V12" s="43">
        <f t="shared" si="2"/>
        <v>95500</v>
      </c>
      <c r="W12" s="31">
        <f t="shared" si="2"/>
        <v>80000</v>
      </c>
    </row>
    <row r="13" spans="1:24" x14ac:dyDescent="0.25">
      <c r="B13" t="str">
        <f t="shared" si="0"/>
        <v/>
      </c>
    </row>
    <row r="14" spans="1:24" ht="13.8" thickBot="1" x14ac:dyDescent="0.3">
      <c r="B14" s="3" t="str">
        <f t="shared" si="0"/>
        <v/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</row>
    <row r="15" spans="1:24" s="50" customFormat="1" ht="13.8" thickBot="1" x14ac:dyDescent="0.3">
      <c r="A15" s="51" t="s">
        <v>91</v>
      </c>
      <c r="B15" s="20" t="s">
        <v>182</v>
      </c>
      <c r="C15" s="46" t="s">
        <v>183</v>
      </c>
      <c r="D15" s="79" t="s">
        <v>180</v>
      </c>
      <c r="E15" s="127">
        <v>45658</v>
      </c>
      <c r="F15" s="82">
        <v>45292</v>
      </c>
      <c r="G15" s="82">
        <v>44927</v>
      </c>
      <c r="H15" s="82">
        <v>44562</v>
      </c>
      <c r="I15" s="82">
        <v>44197</v>
      </c>
      <c r="J15" s="82">
        <v>43831</v>
      </c>
      <c r="K15" s="82">
        <v>43466</v>
      </c>
      <c r="L15" s="21">
        <v>43101</v>
      </c>
      <c r="M15" s="21">
        <v>42736</v>
      </c>
      <c r="N15" s="52">
        <v>42370</v>
      </c>
      <c r="O15" s="52">
        <f>O1</f>
        <v>42005</v>
      </c>
      <c r="P15" s="52">
        <v>41640</v>
      </c>
      <c r="Q15" s="52">
        <v>41275</v>
      </c>
      <c r="R15" s="52">
        <v>40909</v>
      </c>
      <c r="S15" s="52">
        <v>40544</v>
      </c>
      <c r="T15" s="52">
        <v>40179</v>
      </c>
      <c r="U15" s="52">
        <v>39814</v>
      </c>
      <c r="V15" s="52">
        <v>39448</v>
      </c>
      <c r="W15" s="67">
        <v>39083</v>
      </c>
    </row>
    <row r="16" spans="1:24" s="50" customFormat="1" x14ac:dyDescent="0.25">
      <c r="A16" s="53" t="s">
        <v>7</v>
      </c>
      <c r="B16" s="54">
        <f t="shared" si="0"/>
        <v>0.19452495974235107</v>
      </c>
      <c r="C16" s="73">
        <f>E16-[1]UK!E16</f>
        <v>-1727</v>
      </c>
      <c r="D16" s="56"/>
      <c r="E16" s="55">
        <v>7418</v>
      </c>
      <c r="F16" s="56">
        <v>6210</v>
      </c>
      <c r="G16" s="56">
        <v>6305</v>
      </c>
      <c r="H16" s="56">
        <v>6202</v>
      </c>
      <c r="I16" s="56">
        <v>5604</v>
      </c>
      <c r="J16" s="56">
        <v>4987</v>
      </c>
      <c r="K16" s="56">
        <v>7737</v>
      </c>
      <c r="L16" s="56">
        <v>8061</v>
      </c>
      <c r="M16" s="56">
        <v>9000</v>
      </c>
      <c r="N16" s="56">
        <v>11500</v>
      </c>
      <c r="O16" s="56">
        <v>9000</v>
      </c>
      <c r="P16" s="56">
        <v>12500</v>
      </c>
      <c r="Q16" s="56">
        <v>9000</v>
      </c>
      <c r="R16" s="56">
        <v>10000</v>
      </c>
      <c r="S16" s="56">
        <v>11000</v>
      </c>
      <c r="T16" s="56">
        <v>14000</v>
      </c>
      <c r="U16" s="56">
        <v>9000</v>
      </c>
      <c r="V16" s="56">
        <v>10000</v>
      </c>
      <c r="W16" s="68">
        <v>8000</v>
      </c>
    </row>
    <row r="17" spans="1:23" s="50" customFormat="1" x14ac:dyDescent="0.25">
      <c r="A17" s="53" t="s">
        <v>93</v>
      </c>
      <c r="B17" s="54" t="str">
        <f t="shared" si="0"/>
        <v/>
      </c>
      <c r="C17" s="73">
        <f>E17-[1]UK!E17</f>
        <v>0</v>
      </c>
      <c r="D17" s="56"/>
      <c r="E17" s="55"/>
      <c r="F17" s="56"/>
      <c r="G17" s="56"/>
      <c r="H17" s="56"/>
      <c r="I17" s="56">
        <v>692</v>
      </c>
      <c r="J17" s="56">
        <v>378</v>
      </c>
      <c r="K17" s="56">
        <v>183</v>
      </c>
      <c r="L17" s="56">
        <v>14</v>
      </c>
      <c r="M17" s="56"/>
      <c r="N17" s="56">
        <v>500</v>
      </c>
      <c r="O17" s="56">
        <v>0</v>
      </c>
      <c r="P17" s="56">
        <v>500</v>
      </c>
      <c r="Q17" s="56">
        <v>0</v>
      </c>
      <c r="R17" s="56">
        <v>1000</v>
      </c>
      <c r="S17" s="56">
        <v>0</v>
      </c>
      <c r="T17" s="56">
        <v>500</v>
      </c>
      <c r="U17" s="56">
        <v>500</v>
      </c>
      <c r="V17" s="56">
        <v>0</v>
      </c>
      <c r="W17" s="68" t="str">
        <f>B48</f>
        <v/>
      </c>
    </row>
    <row r="18" spans="1:23" s="50" customFormat="1" ht="13.8" thickBot="1" x14ac:dyDescent="0.3">
      <c r="A18" s="57" t="s">
        <v>6</v>
      </c>
      <c r="B18" s="58">
        <f t="shared" si="0"/>
        <v>-0.74749498997995989</v>
      </c>
      <c r="C18" s="73">
        <f>E18-[1]UK!E18</f>
        <v>-17</v>
      </c>
      <c r="D18" s="56"/>
      <c r="E18" s="55">
        <v>126</v>
      </c>
      <c r="F18" s="56">
        <v>499</v>
      </c>
      <c r="G18" s="56">
        <v>389</v>
      </c>
      <c r="H18" s="56">
        <v>324</v>
      </c>
      <c r="I18" s="56">
        <v>145</v>
      </c>
      <c r="J18" s="56">
        <v>115</v>
      </c>
      <c r="K18" s="56">
        <v>224</v>
      </c>
      <c r="L18" s="56"/>
      <c r="M18" s="60">
        <v>430</v>
      </c>
      <c r="N18" s="60">
        <v>100</v>
      </c>
      <c r="O18" s="60">
        <v>0</v>
      </c>
      <c r="P18" s="60">
        <v>500</v>
      </c>
      <c r="Q18" s="60">
        <v>0</v>
      </c>
      <c r="R18" s="60">
        <v>0</v>
      </c>
      <c r="S18" s="60">
        <v>0</v>
      </c>
      <c r="T18" s="60">
        <v>400</v>
      </c>
      <c r="U18" s="60">
        <f>SUM(X18:Y18)</f>
        <v>0</v>
      </c>
      <c r="V18" s="60">
        <v>500</v>
      </c>
      <c r="W18" s="69">
        <f>B55</f>
        <v>0</v>
      </c>
    </row>
    <row r="19" spans="1:23" s="50" customFormat="1" ht="13.8" thickBot="1" x14ac:dyDescent="0.3">
      <c r="A19" s="61" t="s">
        <v>92</v>
      </c>
      <c r="B19" s="62">
        <f t="shared" si="0"/>
        <v>0.1244596810254881</v>
      </c>
      <c r="C19" s="87">
        <f>E19-[1]UK!E19</f>
        <v>-1744</v>
      </c>
      <c r="D19" s="85"/>
      <c r="E19" s="63">
        <f t="shared" ref="E19:K19" si="3">SUM(E16:E18)</f>
        <v>7544</v>
      </c>
      <c r="F19" s="85">
        <f t="shared" si="3"/>
        <v>6709</v>
      </c>
      <c r="G19" s="85">
        <f t="shared" si="3"/>
        <v>6694</v>
      </c>
      <c r="H19" s="85">
        <f t="shared" si="3"/>
        <v>6526</v>
      </c>
      <c r="I19" s="85">
        <f t="shared" si="3"/>
        <v>6441</v>
      </c>
      <c r="J19" s="85">
        <f t="shared" si="3"/>
        <v>5480</v>
      </c>
      <c r="K19" s="85">
        <f t="shared" si="3"/>
        <v>8144</v>
      </c>
      <c r="L19" s="85">
        <v>8075</v>
      </c>
      <c r="M19" s="85">
        <f>SUM(M16:M18)</f>
        <v>9430</v>
      </c>
      <c r="N19" s="85">
        <v>12100</v>
      </c>
      <c r="O19" s="85">
        <f>SUM(O16:O18)</f>
        <v>9000</v>
      </c>
      <c r="P19" s="85">
        <f>SUM(P16:P18)</f>
        <v>13500</v>
      </c>
      <c r="Q19" s="85">
        <f>SUM(Q16:Q18)</f>
        <v>9000</v>
      </c>
      <c r="R19" s="85">
        <f t="shared" ref="R19:W19" si="4">SUM(R16:R18)</f>
        <v>11000</v>
      </c>
      <c r="S19" s="85">
        <f t="shared" si="4"/>
        <v>11000</v>
      </c>
      <c r="T19" s="85">
        <f t="shared" si="4"/>
        <v>14900</v>
      </c>
      <c r="U19" s="85">
        <f t="shared" si="4"/>
        <v>9500</v>
      </c>
      <c r="V19" s="64">
        <f t="shared" si="4"/>
        <v>10500</v>
      </c>
      <c r="W19" s="70">
        <f t="shared" si="4"/>
        <v>8000</v>
      </c>
    </row>
    <row r="20" spans="1:23" s="50" customFormat="1" x14ac:dyDescent="0.25">
      <c r="A20" s="50" t="s">
        <v>168</v>
      </c>
      <c r="B20" s="50" t="str">
        <f t="shared" si="0"/>
        <v/>
      </c>
      <c r="E20" s="56"/>
      <c r="F20" s="56"/>
    </row>
    <row r="21" spans="1:23" x14ac:dyDescent="0.25">
      <c r="B21" t="str">
        <f t="shared" si="0"/>
        <v/>
      </c>
    </row>
    <row r="22" spans="1:23" x14ac:dyDescent="0.25">
      <c r="B22" t="str">
        <f t="shared" si="0"/>
        <v/>
      </c>
      <c r="E22" s="1"/>
      <c r="F22" s="1"/>
      <c r="G22" s="1"/>
    </row>
    <row r="23" spans="1:23" x14ac:dyDescent="0.25">
      <c r="B23" t="str">
        <f t="shared" si="0"/>
        <v/>
      </c>
    </row>
    <row r="24" spans="1:23" x14ac:dyDescent="0.25">
      <c r="B24" t="str">
        <f t="shared" si="0"/>
        <v/>
      </c>
      <c r="F24" s="1"/>
      <c r="G24" s="1"/>
      <c r="H24" s="1"/>
      <c r="I24" s="1"/>
    </row>
    <row r="25" spans="1:23" x14ac:dyDescent="0.25">
      <c r="B25" t="str">
        <f t="shared" si="0"/>
        <v/>
      </c>
    </row>
    <row r="26" spans="1:23" x14ac:dyDescent="0.25">
      <c r="B26" t="str">
        <f t="shared" si="0"/>
        <v/>
      </c>
    </row>
    <row r="27" spans="1:23" x14ac:dyDescent="0.25">
      <c r="B27" t="str">
        <f t="shared" si="0"/>
        <v/>
      </c>
    </row>
    <row r="28" spans="1:23" x14ac:dyDescent="0.25">
      <c r="B28" t="str">
        <f t="shared" si="0"/>
        <v/>
      </c>
    </row>
    <row r="29" spans="1:23" x14ac:dyDescent="0.25">
      <c r="B29" t="str">
        <f t="shared" si="0"/>
        <v/>
      </c>
    </row>
    <row r="30" spans="1:23" x14ac:dyDescent="0.25">
      <c r="B30" t="str">
        <f t="shared" si="0"/>
        <v/>
      </c>
    </row>
    <row r="31" spans="1:23" x14ac:dyDescent="0.25">
      <c r="B31" t="str">
        <f t="shared" si="0"/>
        <v/>
      </c>
    </row>
    <row r="32" spans="1:23" x14ac:dyDescent="0.25">
      <c r="B32" t="str">
        <f t="shared" si="0"/>
        <v/>
      </c>
    </row>
    <row r="33" spans="2:2" x14ac:dyDescent="0.25">
      <c r="B33" t="str">
        <f t="shared" si="0"/>
        <v/>
      </c>
    </row>
    <row r="34" spans="2:2" x14ac:dyDescent="0.25">
      <c r="B34" t="str">
        <f t="shared" si="0"/>
        <v/>
      </c>
    </row>
    <row r="35" spans="2:2" x14ac:dyDescent="0.25">
      <c r="B35" t="str">
        <f t="shared" si="0"/>
        <v/>
      </c>
    </row>
    <row r="36" spans="2:2" x14ac:dyDescent="0.25">
      <c r="B36" t="str">
        <f t="shared" si="0"/>
        <v/>
      </c>
    </row>
    <row r="37" spans="2:2" x14ac:dyDescent="0.25">
      <c r="B37" t="str">
        <f t="shared" si="0"/>
        <v/>
      </c>
    </row>
    <row r="38" spans="2:2" x14ac:dyDescent="0.25">
      <c r="B38" t="str">
        <f t="shared" si="0"/>
        <v/>
      </c>
    </row>
    <row r="39" spans="2:2" x14ac:dyDescent="0.25">
      <c r="B39" t="str">
        <f t="shared" si="0"/>
        <v/>
      </c>
    </row>
    <row r="40" spans="2:2" x14ac:dyDescent="0.25">
      <c r="B40" t="str">
        <f t="shared" si="0"/>
        <v/>
      </c>
    </row>
    <row r="41" spans="2:2" x14ac:dyDescent="0.25">
      <c r="B41" t="str">
        <f t="shared" si="0"/>
        <v/>
      </c>
    </row>
    <row r="42" spans="2:2" x14ac:dyDescent="0.25">
      <c r="B42" t="str">
        <f t="shared" si="0"/>
        <v/>
      </c>
    </row>
    <row r="43" spans="2:2" x14ac:dyDescent="0.25">
      <c r="B43" t="str">
        <f t="shared" si="0"/>
        <v/>
      </c>
    </row>
    <row r="44" spans="2:2" x14ac:dyDescent="0.25">
      <c r="B44" t="str">
        <f t="shared" si="0"/>
        <v/>
      </c>
    </row>
    <row r="45" spans="2:2" x14ac:dyDescent="0.25">
      <c r="B45" t="str">
        <f t="shared" si="0"/>
        <v/>
      </c>
    </row>
    <row r="46" spans="2:2" x14ac:dyDescent="0.25">
      <c r="B46" t="str">
        <f t="shared" si="0"/>
        <v/>
      </c>
    </row>
    <row r="47" spans="2:2" x14ac:dyDescent="0.25">
      <c r="B47" t="str">
        <f t="shared" si="0"/>
        <v/>
      </c>
    </row>
    <row r="48" spans="2:2" x14ac:dyDescent="0.25">
      <c r="B48" t="str">
        <f t="shared" si="0"/>
        <v/>
      </c>
    </row>
    <row r="49" spans="2:2" x14ac:dyDescent="0.25">
      <c r="B49" t="str">
        <f t="shared" si="0"/>
        <v/>
      </c>
    </row>
    <row r="50" spans="2:2" x14ac:dyDescent="0.25">
      <c r="B50" t="str">
        <f t="shared" si="0"/>
        <v/>
      </c>
    </row>
  </sheetData>
  <pageMargins left="0.75" right="0.75" top="1" bottom="1" header="0.5" footer="0.5"/>
  <pageSetup paperSize="9" scale="73" fitToHeight="3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Z54"/>
  <sheetViews>
    <sheetView zoomScaleNormal="100" workbookViewId="0"/>
  </sheetViews>
  <sheetFormatPr defaultColWidth="9.109375" defaultRowHeight="13.2" x14ac:dyDescent="0.25"/>
  <cols>
    <col min="1" max="1" width="29.33203125" customWidth="1"/>
    <col min="2" max="2" width="10.6640625" customWidth="1"/>
    <col min="3" max="3" width="11.44140625" customWidth="1"/>
    <col min="4" max="4" width="11.44140625" bestFit="1" customWidth="1"/>
    <col min="5" max="12" width="11.44140625" customWidth="1"/>
    <col min="13" max="23" width="10.109375" bestFit="1" customWidth="1"/>
    <col min="26" max="26" width="12.109375" hidden="1" customWidth="1"/>
  </cols>
  <sheetData>
    <row r="1" spans="1:26" ht="13.8" thickBot="1" x14ac:dyDescent="0.3">
      <c r="A1" s="19" t="s">
        <v>24</v>
      </c>
      <c r="B1" s="20" t="s">
        <v>182</v>
      </c>
      <c r="C1" s="46" t="s">
        <v>183</v>
      </c>
      <c r="D1" s="79" t="s">
        <v>180</v>
      </c>
      <c r="E1" s="127">
        <v>45658</v>
      </c>
      <c r="F1" s="82">
        <v>45292</v>
      </c>
      <c r="G1" s="82">
        <v>44927</v>
      </c>
      <c r="H1" s="82">
        <v>44562</v>
      </c>
      <c r="I1" s="82">
        <v>44197</v>
      </c>
      <c r="J1" s="82">
        <v>43831</v>
      </c>
      <c r="K1" s="82">
        <v>43466</v>
      </c>
      <c r="L1" s="21">
        <v>43101</v>
      </c>
      <c r="M1" s="21">
        <v>42736</v>
      </c>
      <c r="N1" s="21">
        <v>42370</v>
      </c>
      <c r="O1" s="21">
        <v>42005</v>
      </c>
      <c r="P1" s="21">
        <v>41640</v>
      </c>
      <c r="Q1" s="21">
        <v>41275</v>
      </c>
      <c r="R1" s="21">
        <v>40909</v>
      </c>
      <c r="S1" s="21">
        <v>40544</v>
      </c>
      <c r="T1" s="21">
        <v>40179</v>
      </c>
      <c r="U1" s="21">
        <v>39814</v>
      </c>
      <c r="V1" s="21">
        <v>39448</v>
      </c>
      <c r="W1" s="22">
        <v>39083</v>
      </c>
      <c r="Z1" s="3" t="s">
        <v>177</v>
      </c>
    </row>
    <row r="2" spans="1:26" x14ac:dyDescent="0.25">
      <c r="A2" s="16" t="s">
        <v>11</v>
      </c>
      <c r="B2" s="23" t="str">
        <f>IFERROR((E2/F2-1), "")</f>
        <v/>
      </c>
      <c r="C2" s="47">
        <f>E2-[1]US!E2</f>
        <v>0</v>
      </c>
      <c r="D2" s="1">
        <f>F2-[1]US!F2</f>
        <v>0</v>
      </c>
      <c r="E2" s="109"/>
      <c r="F2" s="1"/>
      <c r="G2" s="1"/>
      <c r="H2" s="1">
        <v>2321.6906939519999</v>
      </c>
      <c r="I2" s="1">
        <v>4866</v>
      </c>
      <c r="J2" s="1">
        <v>8442</v>
      </c>
      <c r="K2" s="1">
        <v>11529</v>
      </c>
      <c r="L2" s="1">
        <v>15359</v>
      </c>
      <c r="M2" s="1">
        <v>22563</v>
      </c>
      <c r="N2" s="1">
        <v>16503</v>
      </c>
      <c r="O2" s="1">
        <v>35788</v>
      </c>
      <c r="P2" s="1">
        <v>20181</v>
      </c>
      <c r="Q2" s="1">
        <v>34701</v>
      </c>
      <c r="R2" s="1">
        <v>31023.593466424682</v>
      </c>
      <c r="S2" s="1">
        <v>47926.49727767695</v>
      </c>
      <c r="T2" s="1">
        <v>41695.099818511793</v>
      </c>
      <c r="U2" s="1">
        <v>50937.386569872957</v>
      </c>
      <c r="V2" s="1">
        <v>46592.558983666058</v>
      </c>
      <c r="W2" s="25">
        <v>42042.781306715064</v>
      </c>
      <c r="Z2" s="33">
        <v>1.9050864000000001E-2</v>
      </c>
    </row>
    <row r="3" spans="1:26" x14ac:dyDescent="0.25">
      <c r="A3" s="16" t="s">
        <v>33</v>
      </c>
      <c r="B3" s="23">
        <f t="shared" ref="B3:B50" si="0">IFERROR((E3/F3-1), "")</f>
        <v>-6.6398364797440657E-2</v>
      </c>
      <c r="C3" s="47">
        <f>E3-[1]US!E3</f>
        <v>-1002.1334164426198</v>
      </c>
      <c r="D3" s="1">
        <f>F3-[1]US!F3</f>
        <v>-818.19717448391975</v>
      </c>
      <c r="E3" s="109">
        <v>2801.8890574659599</v>
      </c>
      <c r="F3" s="1">
        <v>3001.1612574543601</v>
      </c>
      <c r="G3" s="1">
        <v>3571.2397768093197</v>
      </c>
      <c r="H3" s="1">
        <v>2863.2115031520002</v>
      </c>
      <c r="I3" s="1">
        <v>4230</v>
      </c>
      <c r="J3" s="1">
        <v>4307</v>
      </c>
      <c r="K3" s="1">
        <v>5088</v>
      </c>
      <c r="L3" s="1">
        <v>3964</v>
      </c>
      <c r="M3" s="1">
        <v>4002</v>
      </c>
      <c r="N3" s="1">
        <v>6784</v>
      </c>
      <c r="O3" s="1">
        <v>4650</v>
      </c>
      <c r="P3" s="1">
        <v>6327</v>
      </c>
      <c r="Q3" s="1">
        <v>1620</v>
      </c>
      <c r="R3" s="1">
        <v>4478</v>
      </c>
      <c r="S3" s="1">
        <v>4630.6715063520869</v>
      </c>
      <c r="T3" s="1">
        <v>4783.1215970961885</v>
      </c>
      <c r="U3" s="1">
        <v>5697.8221415607986</v>
      </c>
      <c r="V3" s="1">
        <v>5583.484573502722</v>
      </c>
      <c r="W3" s="25">
        <v>4685.6869328493649</v>
      </c>
    </row>
    <row r="4" spans="1:26" x14ac:dyDescent="0.25">
      <c r="A4" s="16" t="s">
        <v>172</v>
      </c>
      <c r="B4" s="23">
        <f t="shared" si="0"/>
        <v>0.65976245526589783</v>
      </c>
      <c r="C4" s="47">
        <f>E4-[1]US!E4</f>
        <v>-18252.552432876313</v>
      </c>
      <c r="D4" s="1">
        <f>F4-[1]US!F4</f>
        <v>-7112.3220113068237</v>
      </c>
      <c r="E4" s="109">
        <v>218087.21058881524</v>
      </c>
      <c r="F4" s="1">
        <v>131396.64046315421</v>
      </c>
      <c r="G4" s="1">
        <v>98032.911328270377</v>
      </c>
      <c r="H4" s="1">
        <v>58821.809652816002</v>
      </c>
      <c r="I4" s="1">
        <v>23817</v>
      </c>
      <c r="J4" s="1">
        <v>3335</v>
      </c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25"/>
    </row>
    <row r="5" spans="1:26" x14ac:dyDescent="0.25">
      <c r="A5" s="16" t="s">
        <v>49</v>
      </c>
      <c r="B5" s="23">
        <f t="shared" si="0"/>
        <v>-8.7556926134498392E-2</v>
      </c>
      <c r="C5" s="47">
        <f>E5-[1]US!E5</f>
        <v>-1974.1283414529589</v>
      </c>
      <c r="D5" s="1">
        <f>F5-[1]US!F5</f>
        <v>-2542.3398746130006</v>
      </c>
      <c r="E5" s="109">
        <v>13714.38526501428</v>
      </c>
      <c r="F5" s="1">
        <v>15030.40097275794</v>
      </c>
      <c r="G5" s="1">
        <v>18376.040234054581</v>
      </c>
      <c r="H5" s="1">
        <v>14019.797529696001</v>
      </c>
      <c r="I5" s="1">
        <v>20063</v>
      </c>
      <c r="J5" s="1">
        <v>16941</v>
      </c>
      <c r="K5" s="1">
        <v>28756</v>
      </c>
      <c r="L5" s="1">
        <v>21229</v>
      </c>
      <c r="M5" s="1">
        <v>16655</v>
      </c>
      <c r="N5" s="1">
        <v>26564</v>
      </c>
      <c r="O5" s="1">
        <v>21781</v>
      </c>
      <c r="P5" s="1">
        <v>29823</v>
      </c>
      <c r="Q5" s="1">
        <v>5888</v>
      </c>
      <c r="R5" s="1">
        <v>29213</v>
      </c>
      <c r="S5" s="1">
        <v>25916.515426497277</v>
      </c>
      <c r="T5" s="1">
        <v>32719.600725952812</v>
      </c>
      <c r="U5" s="1">
        <v>28355.716878402905</v>
      </c>
      <c r="V5" s="1">
        <v>34301.270417422871</v>
      </c>
      <c r="W5" s="25">
        <v>36062.030852994554</v>
      </c>
    </row>
    <row r="6" spans="1:26" x14ac:dyDescent="0.25">
      <c r="A6" s="16" t="s">
        <v>12</v>
      </c>
      <c r="B6" s="23">
        <f t="shared" si="0"/>
        <v>-7.0883228493342387E-2</v>
      </c>
      <c r="C6" s="47">
        <f>E6-[1]US!E6</f>
        <v>-27592.227076481766</v>
      </c>
      <c r="D6" s="1">
        <f>F6-[1]US!F6</f>
        <v>-32137.195408339554</v>
      </c>
      <c r="E6" s="109">
        <v>211368.15588385265</v>
      </c>
      <c r="F6" s="1">
        <v>227493.63951432888</v>
      </c>
      <c r="G6" s="1">
        <v>194995.92526157436</v>
      </c>
      <c r="H6" s="1">
        <v>202296.285896544</v>
      </c>
      <c r="I6" s="1">
        <v>251805</v>
      </c>
      <c r="J6" s="1">
        <v>241538</v>
      </c>
      <c r="K6" s="1">
        <v>225988</v>
      </c>
      <c r="L6" s="1">
        <v>251867</v>
      </c>
      <c r="M6" s="1">
        <v>217794</v>
      </c>
      <c r="N6" s="1">
        <v>189686</v>
      </c>
      <c r="O6" s="1">
        <v>243406</v>
      </c>
      <c r="P6" s="1">
        <v>183912</v>
      </c>
      <c r="Q6" s="1">
        <v>283691</v>
      </c>
      <c r="R6" s="1">
        <v>167505</v>
      </c>
      <c r="S6" s="1">
        <v>197842.10526315789</v>
      </c>
      <c r="T6" s="1">
        <v>167847.5499092559</v>
      </c>
      <c r="U6" s="1">
        <v>214459.16515426498</v>
      </c>
      <c r="V6" s="1">
        <v>144865.69872958257</v>
      </c>
      <c r="W6" s="25">
        <v>154616.78765880218</v>
      </c>
    </row>
    <row r="7" spans="1:26" x14ac:dyDescent="0.25">
      <c r="A7" s="16" t="s">
        <v>9</v>
      </c>
      <c r="B7" s="23">
        <f t="shared" si="0"/>
        <v>4.0399558683273273E-2</v>
      </c>
      <c r="C7" s="47">
        <f>E7-[1]US!E7</f>
        <v>-41523.068434829533</v>
      </c>
      <c r="D7" s="1">
        <f>F7-[1]US!F7</f>
        <v>-50820.278667940351</v>
      </c>
      <c r="E7" s="109">
        <v>355722.97599956038</v>
      </c>
      <c r="F7" s="1">
        <v>341909.96433116752</v>
      </c>
      <c r="G7" s="1">
        <v>334854.52824616717</v>
      </c>
      <c r="H7" s="1">
        <v>311497.68627835199</v>
      </c>
      <c r="I7" s="1">
        <v>339725</v>
      </c>
      <c r="J7" s="1">
        <v>422877</v>
      </c>
      <c r="K7" s="1">
        <v>346500</v>
      </c>
      <c r="L7" s="1">
        <v>414779</v>
      </c>
      <c r="M7" s="1">
        <v>375999</v>
      </c>
      <c r="N7" s="1">
        <v>284415</v>
      </c>
      <c r="O7" s="1">
        <v>370435</v>
      </c>
      <c r="P7" s="1">
        <v>297868</v>
      </c>
      <c r="Q7" s="1">
        <v>286892</v>
      </c>
      <c r="R7" s="1">
        <v>258346</v>
      </c>
      <c r="S7" s="1">
        <v>235611.61524500907</v>
      </c>
      <c r="T7" s="1">
        <v>207637.02359346644</v>
      </c>
      <c r="U7" s="1">
        <v>213087.11433756805</v>
      </c>
      <c r="V7" s="1">
        <v>181167.87658802178</v>
      </c>
      <c r="W7" s="25">
        <v>143444.1397459165</v>
      </c>
    </row>
    <row r="8" spans="1:26" x14ac:dyDescent="0.25">
      <c r="A8" s="16" t="s">
        <v>3</v>
      </c>
      <c r="B8" s="23">
        <f t="shared" si="0"/>
        <v>-0.15463521767748156</v>
      </c>
      <c r="C8" s="47">
        <f>E8-[1]US!E8</f>
        <v>-7927.8711135346821</v>
      </c>
      <c r="D8" s="1">
        <f>F8-[1]US!F8</f>
        <v>-8994.9299274496152</v>
      </c>
      <c r="E8" s="109">
        <v>77612.102091428518</v>
      </c>
      <c r="F8" s="1">
        <v>91809.008033431921</v>
      </c>
      <c r="G8" s="1">
        <v>65546.132280371821</v>
      </c>
      <c r="H8" s="1">
        <v>78662.008100927997</v>
      </c>
      <c r="I8" s="1">
        <v>75764</v>
      </c>
      <c r="J8" s="1">
        <v>127982</v>
      </c>
      <c r="K8" s="1">
        <v>80093</v>
      </c>
      <c r="L8" s="1">
        <v>128344</v>
      </c>
      <c r="M8" s="1">
        <v>116986</v>
      </c>
      <c r="N8" s="1">
        <v>131431</v>
      </c>
      <c r="O8" s="1">
        <v>202339</v>
      </c>
      <c r="P8" s="1">
        <v>165542</v>
      </c>
      <c r="Q8" s="1">
        <v>189495</v>
      </c>
      <c r="R8" s="1">
        <v>174174</v>
      </c>
      <c r="S8" s="1">
        <v>176480.03629764065</v>
      </c>
      <c r="T8" s="1">
        <v>175927.40471869329</v>
      </c>
      <c r="U8" s="1">
        <v>226979.12885662433</v>
      </c>
      <c r="V8" s="1">
        <v>178538.11252268602</v>
      </c>
      <c r="W8" s="25">
        <v>151821.57713248639</v>
      </c>
    </row>
    <row r="9" spans="1:26" x14ac:dyDescent="0.25">
      <c r="A9" s="16" t="s">
        <v>17</v>
      </c>
      <c r="B9" s="23">
        <f t="shared" si="0"/>
        <v>-9.2037745586313502E-2</v>
      </c>
      <c r="C9" s="47">
        <f>E9-[1]US!E9</f>
        <v>-29234.336689311604</v>
      </c>
      <c r="D9" s="1">
        <f>F9-[1]US!F9</f>
        <v>-20310.066474075837</v>
      </c>
      <c r="E9" s="109">
        <v>249369.45967603824</v>
      </c>
      <c r="F9" s="1">
        <v>274647.3859060008</v>
      </c>
      <c r="G9" s="1">
        <v>171306.36611325928</v>
      </c>
      <c r="H9" s="1">
        <v>230344.39669214402</v>
      </c>
      <c r="I9" s="1">
        <v>188782</v>
      </c>
      <c r="J9" s="1">
        <v>241138</v>
      </c>
      <c r="K9" s="1">
        <v>177776</v>
      </c>
      <c r="L9" s="1">
        <v>299050</v>
      </c>
      <c r="M9" s="1">
        <v>195555</v>
      </c>
      <c r="N9" s="1">
        <v>237822</v>
      </c>
      <c r="O9" s="1">
        <v>230543</v>
      </c>
      <c r="P9" s="1">
        <v>217966</v>
      </c>
      <c r="Q9" s="1">
        <v>175032</v>
      </c>
      <c r="R9" s="1">
        <v>171868</v>
      </c>
      <c r="S9" s="1">
        <v>172630.67150635208</v>
      </c>
      <c r="T9" s="1">
        <v>152126.13430127042</v>
      </c>
      <c r="U9" s="1">
        <v>237574.41016333937</v>
      </c>
      <c r="V9" s="1">
        <v>168686.02540834845</v>
      </c>
      <c r="W9" s="25">
        <v>187566.77858439201</v>
      </c>
    </row>
    <row r="10" spans="1:26" x14ac:dyDescent="0.25">
      <c r="A10" s="16" t="s">
        <v>160</v>
      </c>
      <c r="B10" s="23">
        <f t="shared" si="0"/>
        <v>-0.39262833844802647</v>
      </c>
      <c r="C10" s="47">
        <f>E10-[1]US!E10</f>
        <v>-27993.4004978351</v>
      </c>
      <c r="D10" s="1">
        <f>F10-[1]US!F10</f>
        <v>-36602.588216358796</v>
      </c>
      <c r="E10" s="109">
        <v>179701.93631950096</v>
      </c>
      <c r="F10" s="1">
        <v>295868.16062560678</v>
      </c>
      <c r="G10" s="1">
        <v>154616.34776937426</v>
      </c>
      <c r="H10" s="1">
        <v>167835.88288891202</v>
      </c>
      <c r="I10" s="1">
        <v>198632</v>
      </c>
      <c r="J10" s="1">
        <v>196680</v>
      </c>
      <c r="K10" s="1">
        <v>149439</v>
      </c>
      <c r="L10" s="1">
        <v>141264</v>
      </c>
      <c r="M10" s="1">
        <v>84495</v>
      </c>
      <c r="N10" s="1">
        <v>69879</v>
      </c>
      <c r="O10" s="1">
        <v>48327</v>
      </c>
      <c r="P10" s="1">
        <v>29347</v>
      </c>
      <c r="Q10" s="1"/>
      <c r="R10" s="1"/>
      <c r="S10" s="1"/>
      <c r="T10" s="1"/>
      <c r="U10" s="1"/>
      <c r="V10" s="1"/>
      <c r="W10" s="25"/>
      <c r="Y10" s="1"/>
    </row>
    <row r="11" spans="1:26" x14ac:dyDescent="0.25">
      <c r="A11" s="17" t="s">
        <v>10</v>
      </c>
      <c r="B11" s="23">
        <f t="shared" si="0"/>
        <v>-0.59535388623534513</v>
      </c>
      <c r="C11" s="47">
        <f>E11-[1]US!E11</f>
        <v>-81.861629383379977</v>
      </c>
      <c r="D11" s="1">
        <f>F11-[1]US!F11</f>
        <v>-61.648646191439866</v>
      </c>
      <c r="E11" s="109">
        <v>710.14058573303998</v>
      </c>
      <c r="F11" s="1">
        <v>1754.9670232248</v>
      </c>
      <c r="G11" s="1">
        <v>2465.9267967780597</v>
      </c>
      <c r="H11" s="1">
        <v>1110.589167744</v>
      </c>
      <c r="I11" s="1">
        <v>3710</v>
      </c>
      <c r="J11" s="1">
        <v>2820</v>
      </c>
      <c r="K11" s="1">
        <v>1677</v>
      </c>
      <c r="L11" s="1">
        <v>2668</v>
      </c>
      <c r="M11" s="80">
        <v>4878</v>
      </c>
      <c r="N11" s="80">
        <v>4459</v>
      </c>
      <c r="O11" s="80">
        <v>5393</v>
      </c>
      <c r="P11" s="80">
        <v>9585</v>
      </c>
      <c r="Q11" s="80">
        <v>1124</v>
      </c>
      <c r="R11" s="80">
        <v>8594.3738656987298</v>
      </c>
      <c r="S11" s="80">
        <v>2896.5517241379312</v>
      </c>
      <c r="T11" s="80">
        <v>15149.7277676951</v>
      </c>
      <c r="U11" s="80">
        <v>7450.9981851179673</v>
      </c>
      <c r="V11" s="1">
        <v>5164.2468239564432</v>
      </c>
      <c r="W11" s="25">
        <v>7900.0589836660611</v>
      </c>
    </row>
    <row r="12" spans="1:26" x14ac:dyDescent="0.25">
      <c r="A12" s="17" t="s">
        <v>27</v>
      </c>
      <c r="B12" s="23" t="str">
        <f t="shared" si="0"/>
        <v/>
      </c>
      <c r="C12" s="47">
        <f>E12-[1]US!E12</f>
        <v>0</v>
      </c>
      <c r="D12" s="1">
        <f>F12-[1]US!F12</f>
        <v>0</v>
      </c>
      <c r="E12" s="109"/>
      <c r="F12" s="1"/>
      <c r="G12" s="1"/>
      <c r="H12" s="1">
        <v>0</v>
      </c>
      <c r="I12" s="1"/>
      <c r="J12" s="1"/>
      <c r="K12" s="1">
        <v>11510</v>
      </c>
      <c r="L12" s="1">
        <v>10290</v>
      </c>
      <c r="M12" s="80">
        <v>12863</v>
      </c>
      <c r="N12" s="80">
        <v>12444</v>
      </c>
      <c r="O12" s="80">
        <v>20600</v>
      </c>
      <c r="P12" s="80">
        <v>20886</v>
      </c>
      <c r="Q12" s="80">
        <v>10919</v>
      </c>
      <c r="R12" s="80">
        <v>15740</v>
      </c>
      <c r="S12" s="80">
        <v>15645.19056261343</v>
      </c>
      <c r="T12" s="80">
        <v>10785.843920145191</v>
      </c>
      <c r="U12" s="80">
        <v>19113.430127041742</v>
      </c>
      <c r="V12" s="1">
        <v>10538.112522686026</v>
      </c>
      <c r="W12" s="25">
        <v>16368.928312159709</v>
      </c>
    </row>
    <row r="13" spans="1:26" x14ac:dyDescent="0.25">
      <c r="A13" s="17" t="s">
        <v>50</v>
      </c>
      <c r="B13" s="23">
        <f t="shared" si="0"/>
        <v>-0.27232268670737436</v>
      </c>
      <c r="C13" s="47">
        <f>E13-[1]US!E13</f>
        <v>-146.10119519226009</v>
      </c>
      <c r="D13" s="1">
        <f>F13-[1]US!F13</f>
        <v>-125.85011024124015</v>
      </c>
      <c r="E13" s="109">
        <v>1180.5639542142599</v>
      </c>
      <c r="F13" s="1">
        <v>1622.3729016263999</v>
      </c>
      <c r="G13" s="1">
        <v>1238.91679824528</v>
      </c>
      <c r="H13" s="1">
        <v>851.19260352000003</v>
      </c>
      <c r="I13" s="1">
        <v>1668</v>
      </c>
      <c r="J13" s="1">
        <v>1829</v>
      </c>
      <c r="K13" s="1">
        <v>2839</v>
      </c>
      <c r="L13" s="1">
        <v>1467</v>
      </c>
      <c r="M13" s="80">
        <v>3830</v>
      </c>
      <c r="N13" s="80">
        <v>4650</v>
      </c>
      <c r="O13" s="80">
        <v>4917</v>
      </c>
      <c r="P13" s="80">
        <v>6898</v>
      </c>
      <c r="Q13" s="80">
        <v>38</v>
      </c>
      <c r="R13" s="80">
        <v>8042</v>
      </c>
      <c r="S13" s="80">
        <v>3372.9582577132487</v>
      </c>
      <c r="T13" s="80">
        <v>12462.794918330308</v>
      </c>
      <c r="U13" s="80">
        <v>5183.3030852994552</v>
      </c>
      <c r="V13" s="1">
        <v>2763.1578947368421</v>
      </c>
      <c r="W13" s="25">
        <v>4432.9437386569871</v>
      </c>
    </row>
    <row r="14" spans="1:26" x14ac:dyDescent="0.25">
      <c r="A14" s="17" t="s">
        <v>51</v>
      </c>
      <c r="B14" s="23">
        <f t="shared" si="0"/>
        <v>-9.2862816765397649E-2</v>
      </c>
      <c r="C14" s="47">
        <f>E14-[1]US!E14</f>
        <v>-3021.0884774531987</v>
      </c>
      <c r="D14" s="1">
        <f>F14-[1]US!F14</f>
        <v>-2985.5014344724805</v>
      </c>
      <c r="E14" s="109">
        <v>16643.28653637342</v>
      </c>
      <c r="F14" s="1">
        <v>18347.0447953947</v>
      </c>
      <c r="G14" s="1">
        <v>18592.40107299036</v>
      </c>
      <c r="H14" s="1">
        <v>21347.960028527999</v>
      </c>
      <c r="I14" s="1">
        <v>21893</v>
      </c>
      <c r="J14" s="1">
        <v>28756</v>
      </c>
      <c r="K14" s="1">
        <v>33749</v>
      </c>
      <c r="L14" s="1">
        <v>26050</v>
      </c>
      <c r="M14" s="80">
        <v>25021</v>
      </c>
      <c r="N14" s="80">
        <v>38170</v>
      </c>
      <c r="O14" s="80">
        <v>38875</v>
      </c>
      <c r="P14" s="80">
        <v>42286</v>
      </c>
      <c r="Q14" s="80">
        <v>15645</v>
      </c>
      <c r="R14" s="80">
        <v>32281</v>
      </c>
      <c r="S14" s="80">
        <v>23705.989110707804</v>
      </c>
      <c r="T14" s="80">
        <v>43505.444646098003</v>
      </c>
      <c r="U14" s="80">
        <v>37521.778584392014</v>
      </c>
      <c r="V14" s="1">
        <v>32471.869328493649</v>
      </c>
      <c r="W14" s="25">
        <v>30648.566243194189</v>
      </c>
      <c r="Z14" s="1"/>
    </row>
    <row r="15" spans="1:26" x14ac:dyDescent="0.25">
      <c r="A15" s="17" t="s">
        <v>52</v>
      </c>
      <c r="B15" s="23">
        <f t="shared" si="0"/>
        <v>-0.57082717723491672</v>
      </c>
      <c r="C15" s="47">
        <f>E15-[1]US!E15</f>
        <v>-133.88958140712003</v>
      </c>
      <c r="D15" s="1">
        <f>F15-[1]US!F15</f>
        <v>-86.510043991140037</v>
      </c>
      <c r="E15" s="109">
        <v>403.97390064569998</v>
      </c>
      <c r="F15" s="1">
        <v>941.28490719185993</v>
      </c>
      <c r="G15" s="1">
        <v>1005.6006765188999</v>
      </c>
      <c r="H15" s="1">
        <v>640.89011582400008</v>
      </c>
      <c r="I15" s="1">
        <v>809</v>
      </c>
      <c r="J15" s="1">
        <v>1353</v>
      </c>
      <c r="K15" s="1">
        <v>1486</v>
      </c>
      <c r="L15" s="1">
        <v>1906</v>
      </c>
      <c r="M15" s="80">
        <v>1410</v>
      </c>
      <c r="N15" s="80">
        <v>1181</v>
      </c>
      <c r="O15" s="80">
        <v>1029</v>
      </c>
      <c r="P15" s="80">
        <v>2020</v>
      </c>
      <c r="Q15" s="80">
        <v>1410</v>
      </c>
      <c r="R15" s="80">
        <v>2954</v>
      </c>
      <c r="S15" s="80">
        <v>3277.676950998185</v>
      </c>
      <c r="T15" s="80">
        <v>3106.1705989110706</v>
      </c>
      <c r="U15" s="80">
        <v>4078.0399274047186</v>
      </c>
      <c r="V15" s="1">
        <v>5030.8529945553537</v>
      </c>
      <c r="W15" s="25">
        <v>3619.4128856624316</v>
      </c>
    </row>
    <row r="16" spans="1:26" x14ac:dyDescent="0.25">
      <c r="A16" s="17" t="s">
        <v>53</v>
      </c>
      <c r="B16" s="23">
        <f t="shared" si="0"/>
        <v>-0.28895405257162143</v>
      </c>
      <c r="C16" s="47">
        <f>E16-[1]US!E16</f>
        <v>-67.763978523779997</v>
      </c>
      <c r="D16" s="1">
        <f>F16-[1]US!F16</f>
        <v>-69.897677032260049</v>
      </c>
      <c r="E16" s="109">
        <v>642.10989489569999</v>
      </c>
      <c r="F16" s="1">
        <v>903.04979195507997</v>
      </c>
      <c r="G16" s="1">
        <v>517.87910941535995</v>
      </c>
      <c r="H16" s="1">
        <v>776.85613219200002</v>
      </c>
      <c r="I16" s="1">
        <v>840</v>
      </c>
      <c r="J16" s="1">
        <v>705</v>
      </c>
      <c r="K16" s="1">
        <v>743</v>
      </c>
      <c r="L16" s="1">
        <v>19</v>
      </c>
      <c r="M16" s="80">
        <v>0</v>
      </c>
      <c r="N16" s="80">
        <v>0</v>
      </c>
      <c r="O16" s="80">
        <v>0</v>
      </c>
      <c r="P16" s="80">
        <v>0</v>
      </c>
      <c r="Q16" s="80">
        <v>1220</v>
      </c>
      <c r="R16" s="80">
        <v>1238.6569872958257</v>
      </c>
      <c r="S16" s="80">
        <v>1734.119782214156</v>
      </c>
      <c r="T16" s="80">
        <v>2477.3139745916515</v>
      </c>
      <c r="U16" s="80">
        <v>2572.5952813067152</v>
      </c>
      <c r="V16" s="1">
        <v>362.06896551724139</v>
      </c>
      <c r="W16" s="25">
        <v>212.00090744101632</v>
      </c>
    </row>
    <row r="17" spans="1:23" x14ac:dyDescent="0.25">
      <c r="A17" s="17" t="s">
        <v>54</v>
      </c>
      <c r="B17" s="23" t="str">
        <f t="shared" si="0"/>
        <v/>
      </c>
      <c r="C17" s="47">
        <f>E17-[1]US!E17</f>
        <v>0</v>
      </c>
      <c r="D17" s="1">
        <f>F17-[1]US!F17</f>
        <v>0</v>
      </c>
      <c r="E17" s="109"/>
      <c r="F17" s="1"/>
      <c r="G17" s="1"/>
      <c r="H17" s="1">
        <v>0</v>
      </c>
      <c r="I17" s="1"/>
      <c r="J17" s="1"/>
      <c r="K17" s="1">
        <v>0</v>
      </c>
      <c r="L17" s="1">
        <v>0</v>
      </c>
      <c r="M17" s="80">
        <v>0</v>
      </c>
      <c r="N17" s="80">
        <v>19</v>
      </c>
      <c r="O17" s="80">
        <v>0</v>
      </c>
      <c r="P17" s="80">
        <v>343</v>
      </c>
      <c r="Q17" s="80">
        <v>19</v>
      </c>
      <c r="R17" s="80">
        <v>19</v>
      </c>
      <c r="S17" s="80">
        <v>0</v>
      </c>
      <c r="T17" s="80">
        <v>438.29401088929222</v>
      </c>
      <c r="U17" s="80">
        <v>5621.5970961887479</v>
      </c>
      <c r="V17" s="1">
        <v>76.225045372050815</v>
      </c>
      <c r="W17" s="25">
        <v>87.525408348457347</v>
      </c>
    </row>
    <row r="18" spans="1:23" x14ac:dyDescent="0.25">
      <c r="A18" s="16" t="s">
        <v>22</v>
      </c>
      <c r="B18" s="23">
        <f t="shared" si="0"/>
        <v>0.31797923687346974</v>
      </c>
      <c r="C18" s="47">
        <f>E18-[1]US!E18</f>
        <v>-13531.553974068898</v>
      </c>
      <c r="D18" s="1">
        <f>F18-[1]US!F18</f>
        <v>-12586.363636571361</v>
      </c>
      <c r="E18" s="109">
        <v>184399.95941758313</v>
      </c>
      <c r="F18" s="1">
        <v>139911.12625948456</v>
      </c>
      <c r="G18" s="1">
        <v>107289.61939147914</v>
      </c>
      <c r="H18" s="1">
        <v>124620.54102489601</v>
      </c>
      <c r="I18" s="1">
        <v>106138</v>
      </c>
      <c r="J18" s="1">
        <v>100827</v>
      </c>
      <c r="K18" s="1">
        <v>89012</v>
      </c>
      <c r="L18" s="1">
        <v>88288</v>
      </c>
      <c r="M18" s="1">
        <v>99340</v>
      </c>
      <c r="N18" s="1">
        <v>84019</v>
      </c>
      <c r="O18" s="1">
        <v>64620</v>
      </c>
      <c r="P18" s="1">
        <v>53548</v>
      </c>
      <c r="Q18" s="1">
        <v>55740</v>
      </c>
      <c r="R18" s="1">
        <v>44592</v>
      </c>
      <c r="S18" s="1">
        <v>50003.629764065336</v>
      </c>
      <c r="T18" s="1">
        <v>52728.675136116151</v>
      </c>
      <c r="U18" s="1">
        <v>42076.225045372048</v>
      </c>
      <c r="V18" s="1">
        <v>42686.025408348454</v>
      </c>
      <c r="W18" s="25">
        <v>30510.484573502719</v>
      </c>
    </row>
    <row r="19" spans="1:23" x14ac:dyDescent="0.25">
      <c r="A19" s="17" t="s">
        <v>19</v>
      </c>
      <c r="B19" s="23">
        <f t="shared" si="0"/>
        <v>-0.13473605129350819</v>
      </c>
      <c r="C19" s="47">
        <f>E19-[1]US!E19</f>
        <v>-54949.29009592178</v>
      </c>
      <c r="D19" s="1">
        <f>F19-[1]US!F19</f>
        <v>-31139.119829238916</v>
      </c>
      <c r="E19" s="109">
        <v>305689.40340222436</v>
      </c>
      <c r="F19" s="1">
        <v>353290.35014021827</v>
      </c>
      <c r="G19" s="1">
        <v>243263.19556235927</v>
      </c>
      <c r="H19" s="1">
        <v>291791.77737057599</v>
      </c>
      <c r="I19" s="1">
        <v>333515</v>
      </c>
      <c r="J19" s="1">
        <v>426041</v>
      </c>
      <c r="K19" s="1">
        <v>464592</v>
      </c>
      <c r="L19" s="1">
        <v>543809</v>
      </c>
      <c r="M19" s="80">
        <v>606332</v>
      </c>
      <c r="N19" s="80">
        <v>468555</v>
      </c>
      <c r="O19" s="80">
        <v>729779</v>
      </c>
      <c r="P19" s="80">
        <v>545752</v>
      </c>
      <c r="Q19" s="80">
        <v>590687</v>
      </c>
      <c r="R19" s="80">
        <v>535881</v>
      </c>
      <c r="S19" s="80">
        <v>473452.81306715065</v>
      </c>
      <c r="T19" s="80">
        <v>556480.94373865693</v>
      </c>
      <c r="U19" s="80">
        <v>544913.79310344823</v>
      </c>
      <c r="V19" s="1">
        <v>480675.13611615245</v>
      </c>
      <c r="W19" s="25">
        <v>545821.69056261342</v>
      </c>
    </row>
    <row r="20" spans="1:23" x14ac:dyDescent="0.25">
      <c r="A20" s="17" t="s">
        <v>55</v>
      </c>
      <c r="B20" s="23">
        <f t="shared" si="0"/>
        <v>-0.34050619482861622</v>
      </c>
      <c r="C20" s="47">
        <f>E20-[1]US!E20</f>
        <v>-142.15766312747974</v>
      </c>
      <c r="D20" s="1">
        <f>F20-[1]US!F20</f>
        <v>-358.04223007476003</v>
      </c>
      <c r="E20" s="109">
        <v>2250.2136877466401</v>
      </c>
      <c r="F20" s="1">
        <v>3412.0315764935399</v>
      </c>
      <c r="G20" s="1">
        <v>3575.4690720671997</v>
      </c>
      <c r="H20" s="1">
        <v>3057.9113332320003</v>
      </c>
      <c r="I20" s="1">
        <v>3407</v>
      </c>
      <c r="J20" s="1">
        <v>4269</v>
      </c>
      <c r="K20" s="1">
        <v>4802</v>
      </c>
      <c r="L20" s="1">
        <v>5469</v>
      </c>
      <c r="M20" s="80">
        <v>8518</v>
      </c>
      <c r="N20" s="80">
        <v>6079</v>
      </c>
      <c r="O20" s="80">
        <v>7680</v>
      </c>
      <c r="P20" s="80">
        <v>6651</v>
      </c>
      <c r="Q20" s="80">
        <v>4307</v>
      </c>
      <c r="R20" s="80">
        <v>7318</v>
      </c>
      <c r="S20" s="80">
        <v>5126.1343012704174</v>
      </c>
      <c r="T20" s="80">
        <v>6364.7912885662436</v>
      </c>
      <c r="U20" s="80">
        <v>10328.493647912886</v>
      </c>
      <c r="V20" s="1">
        <v>8327.5862068965525</v>
      </c>
      <c r="W20" s="25">
        <v>9555.4764065335748</v>
      </c>
    </row>
    <row r="21" spans="1:23" x14ac:dyDescent="0.25">
      <c r="A21" s="17" t="s">
        <v>56</v>
      </c>
      <c r="B21" s="23">
        <f t="shared" si="0"/>
        <v>-0.56457115732637142</v>
      </c>
      <c r="C21" s="47">
        <f>E21-[1]US!E21</f>
        <v>23.280174797880022</v>
      </c>
      <c r="D21" s="1">
        <f>F21-[1]US!F21</f>
        <v>-67.554418848839987</v>
      </c>
      <c r="E21" s="109">
        <v>279.60975900858</v>
      </c>
      <c r="F21" s="1">
        <v>642.14799665477994</v>
      </c>
      <c r="G21" s="1">
        <v>654.35961043991995</v>
      </c>
      <c r="H21" s="1">
        <v>346.59236875200003</v>
      </c>
      <c r="I21" s="1">
        <v>407</v>
      </c>
      <c r="J21" s="1">
        <v>877</v>
      </c>
      <c r="K21" s="1">
        <v>781</v>
      </c>
      <c r="L21" s="1">
        <v>2191</v>
      </c>
      <c r="M21" s="80">
        <v>3278</v>
      </c>
      <c r="N21" s="80">
        <v>3144</v>
      </c>
      <c r="O21" s="80">
        <v>2820</v>
      </c>
      <c r="P21" s="80">
        <v>7299</v>
      </c>
      <c r="Q21" s="80">
        <v>838</v>
      </c>
      <c r="R21" s="80">
        <v>5545</v>
      </c>
      <c r="S21" s="80">
        <v>5964.6098003629768</v>
      </c>
      <c r="T21" s="80">
        <v>8041.7422867513615</v>
      </c>
      <c r="U21" s="80">
        <v>10461.887477313974</v>
      </c>
      <c r="V21" s="1">
        <v>6231.397459165154</v>
      </c>
      <c r="W21" s="25">
        <v>12237.359346642468</v>
      </c>
    </row>
    <row r="22" spans="1:23" x14ac:dyDescent="0.25">
      <c r="A22" s="17" t="s">
        <v>35</v>
      </c>
      <c r="B22" s="23">
        <f t="shared" si="0"/>
        <v>0.11780995620203893</v>
      </c>
      <c r="C22" s="47">
        <f>E22-[1]US!E22</f>
        <v>-75.117618026220043</v>
      </c>
      <c r="D22" s="1">
        <f>F22-[1]US!F22</f>
        <v>186.33665278074022</v>
      </c>
      <c r="E22" s="109">
        <v>2922.1572600019799</v>
      </c>
      <c r="F22" s="1">
        <v>2614.1807413583401</v>
      </c>
      <c r="G22" s="1">
        <v>2588.46205397934</v>
      </c>
      <c r="H22" s="1">
        <v>2744.962790304</v>
      </c>
      <c r="I22" s="1">
        <v>2278</v>
      </c>
      <c r="J22" s="1">
        <v>1715</v>
      </c>
      <c r="K22" s="1">
        <v>2287</v>
      </c>
      <c r="L22" s="1">
        <v>2306</v>
      </c>
      <c r="M22" s="80">
        <v>1296</v>
      </c>
      <c r="N22" s="80">
        <v>2763</v>
      </c>
      <c r="O22" s="80">
        <v>1677</v>
      </c>
      <c r="P22" s="80">
        <v>2153</v>
      </c>
      <c r="Q22" s="80">
        <v>915</v>
      </c>
      <c r="R22" s="80">
        <v>2763.1578947368421</v>
      </c>
      <c r="S22" s="80">
        <v>1924.6823956442831</v>
      </c>
      <c r="T22" s="80">
        <v>3334.8457350272233</v>
      </c>
      <c r="U22" s="80">
        <v>2286.7513611615245</v>
      </c>
      <c r="V22" s="1">
        <v>3163.3393829401089</v>
      </c>
      <c r="W22" s="25">
        <v>4097.5344827586205</v>
      </c>
    </row>
    <row r="23" spans="1:23" x14ac:dyDescent="0.25">
      <c r="A23" s="17" t="s">
        <v>21</v>
      </c>
      <c r="B23" s="23">
        <f t="shared" si="0"/>
        <v>0.29769997206443799</v>
      </c>
      <c r="C23" s="47">
        <f>E23-[1]US!E23</f>
        <v>-495.24666452183999</v>
      </c>
      <c r="D23" s="1">
        <f>F23-[1]US!F23</f>
        <v>-49.913304394799979</v>
      </c>
      <c r="E23" s="109">
        <v>265.49305726943999</v>
      </c>
      <c r="F23" s="1">
        <v>204.58739538006</v>
      </c>
      <c r="G23" s="1">
        <v>297.32707698077996</v>
      </c>
      <c r="H23" s="1">
        <v>247.10875694400002</v>
      </c>
      <c r="I23" s="1">
        <v>181</v>
      </c>
      <c r="J23" s="1">
        <v>515</v>
      </c>
      <c r="K23" s="1">
        <v>515</v>
      </c>
      <c r="L23" s="1">
        <v>648</v>
      </c>
      <c r="M23" s="80">
        <v>400</v>
      </c>
      <c r="N23" s="80">
        <v>610</v>
      </c>
      <c r="O23" s="80">
        <v>686</v>
      </c>
      <c r="P23" s="80">
        <v>591</v>
      </c>
      <c r="Q23" s="80">
        <v>515</v>
      </c>
      <c r="R23" s="80">
        <v>838.47549909255895</v>
      </c>
      <c r="S23" s="80">
        <v>1048.0943738656988</v>
      </c>
      <c r="T23" s="80">
        <v>1333.9382940108892</v>
      </c>
      <c r="U23" s="80">
        <v>1372.0508166969148</v>
      </c>
      <c r="V23" s="1">
        <v>1391.1070780399275</v>
      </c>
      <c r="W23" s="25">
        <v>1904.9019963702358</v>
      </c>
    </row>
    <row r="24" spans="1:23" x14ac:dyDescent="0.25">
      <c r="A24" s="17" t="s">
        <v>57</v>
      </c>
      <c r="B24" s="23" t="str">
        <f t="shared" si="0"/>
        <v/>
      </c>
      <c r="C24" s="47">
        <f>E24-[1]US!E24</f>
        <v>0</v>
      </c>
      <c r="D24" s="1">
        <f>F24-[1]US!F24</f>
        <v>0</v>
      </c>
      <c r="E24" s="109"/>
      <c r="F24" s="1"/>
      <c r="G24" s="1"/>
      <c r="H24" s="1">
        <v>0</v>
      </c>
      <c r="I24" s="1"/>
      <c r="J24" s="1"/>
      <c r="K24" s="1">
        <v>0</v>
      </c>
      <c r="L24" s="1">
        <v>0</v>
      </c>
      <c r="M24" s="80">
        <v>0</v>
      </c>
      <c r="N24" s="80">
        <v>0</v>
      </c>
      <c r="O24" s="80">
        <v>0</v>
      </c>
      <c r="P24" s="80">
        <v>191</v>
      </c>
      <c r="Q24" s="80">
        <v>57</v>
      </c>
      <c r="R24" s="80">
        <v>38.112522686025407</v>
      </c>
      <c r="S24" s="80">
        <v>38.112522686025407</v>
      </c>
      <c r="T24" s="80">
        <v>38.112522686025407</v>
      </c>
      <c r="U24" s="80">
        <v>438.29401088929222</v>
      </c>
      <c r="V24" s="1">
        <v>114.33756805807623</v>
      </c>
      <c r="W24" s="25">
        <v>629.86660617059886</v>
      </c>
    </row>
    <row r="25" spans="1:23" x14ac:dyDescent="0.25">
      <c r="A25" s="17" t="s">
        <v>58</v>
      </c>
      <c r="B25" s="23">
        <f t="shared" si="0"/>
        <v>-2.9916685158661416E-2</v>
      </c>
      <c r="C25" s="47">
        <f>E25-[1]US!E25</f>
        <v>-97.426197967560029</v>
      </c>
      <c r="D25" s="1">
        <f>F25-[1]US!F25</f>
        <v>-102.68424072060009</v>
      </c>
      <c r="E25" s="109">
        <v>916.11869531951993</v>
      </c>
      <c r="F25" s="1">
        <v>944.37114967733999</v>
      </c>
      <c r="G25" s="1">
        <v>738.88836295889996</v>
      </c>
      <c r="H25" s="1">
        <v>806.80409040000006</v>
      </c>
      <c r="I25" s="1">
        <v>832</v>
      </c>
      <c r="J25" s="1">
        <v>934</v>
      </c>
      <c r="K25" s="1">
        <v>896</v>
      </c>
      <c r="L25" s="1">
        <v>38</v>
      </c>
      <c r="M25" s="80">
        <v>191</v>
      </c>
      <c r="N25" s="80">
        <v>210</v>
      </c>
      <c r="O25" s="80">
        <v>76</v>
      </c>
      <c r="P25" s="80">
        <v>267</v>
      </c>
      <c r="Q25" s="80">
        <v>305</v>
      </c>
      <c r="R25" s="80">
        <v>495</v>
      </c>
      <c r="S25" s="80">
        <v>552.63157894736844</v>
      </c>
      <c r="T25" s="80">
        <v>857.53176043557164</v>
      </c>
      <c r="U25" s="80">
        <v>609.80036297640652</v>
      </c>
      <c r="V25" s="1">
        <v>1009.9818511796733</v>
      </c>
      <c r="W25" s="25">
        <v>343.03176043557164</v>
      </c>
    </row>
    <row r="26" spans="1:23" ht="13.8" thickBot="1" x14ac:dyDescent="0.3">
      <c r="A26" s="17" t="s">
        <v>59</v>
      </c>
      <c r="B26" s="23">
        <f t="shared" si="0"/>
        <v>-1.4611521615917722E-2</v>
      </c>
      <c r="C26" s="47">
        <f>E26-[1]US!E26</f>
        <v>-31798.947042106884</v>
      </c>
      <c r="D26" s="1">
        <f>F26-[1]US!F26</f>
        <v>-25102.791494351346</v>
      </c>
      <c r="E26" s="109">
        <v>229233.40393568075</v>
      </c>
      <c r="F26" s="1">
        <v>232632.51901584616</v>
      </c>
      <c r="G26" s="1">
        <v>177377.61471034374</v>
      </c>
      <c r="H26" s="1">
        <f>(6878201+1339894)*0.019050864</f>
        <v>156561.81018408001</v>
      </c>
      <c r="I26" s="1">
        <f>114538+22395+70</f>
        <v>137003</v>
      </c>
      <c r="J26" s="1">
        <v>145590</v>
      </c>
      <c r="K26" s="1">
        <f>90041+15664</f>
        <v>105705</v>
      </c>
      <c r="L26" s="1">
        <v>115862</v>
      </c>
      <c r="M26" s="80">
        <v>168362</v>
      </c>
      <c r="N26" s="80">
        <v>135147</v>
      </c>
      <c r="O26" s="80">
        <v>126648</v>
      </c>
      <c r="P26" s="80">
        <v>90346</v>
      </c>
      <c r="Q26" s="80">
        <v>55473</v>
      </c>
      <c r="R26" s="80">
        <v>53053</v>
      </c>
      <c r="S26" s="80">
        <v>45010.889292196007</v>
      </c>
      <c r="T26" s="80">
        <v>52785.843920145191</v>
      </c>
      <c r="U26" s="80">
        <v>49393.829401088929</v>
      </c>
      <c r="V26" s="1">
        <v>36702.359346642472</v>
      </c>
      <c r="W26" s="25">
        <v>34918.50272232305</v>
      </c>
    </row>
    <row r="27" spans="1:23" ht="13.8" thickBot="1" x14ac:dyDescent="0.3">
      <c r="A27" s="19" t="s">
        <v>23</v>
      </c>
      <c r="B27" s="139">
        <f t="shared" si="0"/>
        <v>-3.9498119243874918E-2</v>
      </c>
      <c r="C27" s="71">
        <f>E27-[1]US!E27</f>
        <v>-260016.88194566779</v>
      </c>
      <c r="D27" s="43">
        <f>F27-[1]US!F27</f>
        <v>-231887.45816791756</v>
      </c>
      <c r="E27" s="42">
        <f t="shared" ref="E27:K27" si="1">SUM(E2:E26)</f>
        <v>2053914.5489683729</v>
      </c>
      <c r="F27" s="43">
        <f>SUM(F2:F26)</f>
        <v>2138376.3947984078</v>
      </c>
      <c r="G27" s="43">
        <f t="shared" si="1"/>
        <v>1600905.1513044373</v>
      </c>
      <c r="H27" s="43">
        <f t="shared" si="1"/>
        <v>1673567.7652034881</v>
      </c>
      <c r="I27" s="43">
        <f t="shared" si="1"/>
        <v>1720365</v>
      </c>
      <c r="J27" s="43">
        <f t="shared" si="1"/>
        <v>1979471</v>
      </c>
      <c r="K27" s="43">
        <f t="shared" si="1"/>
        <v>1745763</v>
      </c>
      <c r="L27" s="43">
        <f t="shared" ref="L27:Q27" si="2">SUM(L2:L26)</f>
        <v>2076867</v>
      </c>
      <c r="M27" s="43">
        <f t="shared" si="2"/>
        <v>1969768</v>
      </c>
      <c r="N27" s="43">
        <f t="shared" si="2"/>
        <v>1724534</v>
      </c>
      <c r="O27" s="43">
        <f t="shared" si="2"/>
        <v>2162069</v>
      </c>
      <c r="P27" s="43">
        <f t="shared" si="2"/>
        <v>1739782</v>
      </c>
      <c r="Q27" s="43">
        <f t="shared" si="2"/>
        <v>1716531</v>
      </c>
      <c r="R27" s="43">
        <f t="shared" ref="R27:W27" si="3">SUM(R2:R26)</f>
        <v>1556000.3702359349</v>
      </c>
      <c r="S27" s="43">
        <f t="shared" si="3"/>
        <v>1494792.1960072594</v>
      </c>
      <c r="T27" s="43">
        <f t="shared" si="3"/>
        <v>1552627.9491833029</v>
      </c>
      <c r="U27" s="43">
        <f t="shared" si="3"/>
        <v>1720513.6116152445</v>
      </c>
      <c r="V27" s="43">
        <f t="shared" si="3"/>
        <v>1396442.8312159709</v>
      </c>
      <c r="W27" s="96">
        <f t="shared" si="3"/>
        <v>1423528.0671506347</v>
      </c>
    </row>
    <row r="28" spans="1:23" x14ac:dyDescent="0.25">
      <c r="B28" s="32" t="str">
        <f t="shared" si="0"/>
        <v/>
      </c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</row>
    <row r="29" spans="1:23" ht="13.8" thickBot="1" x14ac:dyDescent="0.3">
      <c r="B29" s="32" t="str">
        <f t="shared" si="0"/>
        <v/>
      </c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</row>
    <row r="30" spans="1:23" ht="13.8" thickBot="1" x14ac:dyDescent="0.3">
      <c r="A30" s="19" t="s">
        <v>25</v>
      </c>
      <c r="B30" s="20" t="s">
        <v>182</v>
      </c>
      <c r="C30" s="46" t="s">
        <v>183</v>
      </c>
      <c r="D30" s="79" t="s">
        <v>180</v>
      </c>
      <c r="E30" s="127">
        <v>45658</v>
      </c>
      <c r="F30" s="82">
        <v>45292</v>
      </c>
      <c r="G30" s="82">
        <v>44927</v>
      </c>
      <c r="H30" s="82">
        <v>44562</v>
      </c>
      <c r="I30" s="82">
        <v>44197</v>
      </c>
      <c r="J30" s="82">
        <v>43831</v>
      </c>
      <c r="K30" s="82">
        <v>43466</v>
      </c>
      <c r="L30" s="21">
        <v>43101</v>
      </c>
      <c r="M30" s="21">
        <v>42736</v>
      </c>
      <c r="N30" s="21">
        <f>N1</f>
        <v>42370</v>
      </c>
      <c r="O30" s="21">
        <f>O1</f>
        <v>42005</v>
      </c>
      <c r="P30" s="21">
        <v>41640</v>
      </c>
      <c r="Q30" s="21">
        <v>41275</v>
      </c>
      <c r="R30" s="21">
        <v>40909</v>
      </c>
      <c r="S30" s="21">
        <v>40544</v>
      </c>
      <c r="T30" s="21">
        <v>40179</v>
      </c>
      <c r="U30" s="21">
        <v>39814</v>
      </c>
      <c r="V30" s="21">
        <v>39448</v>
      </c>
      <c r="W30" s="22">
        <v>39083</v>
      </c>
    </row>
    <row r="31" spans="1:23" x14ac:dyDescent="0.25">
      <c r="A31" s="16" t="s">
        <v>41</v>
      </c>
      <c r="B31" s="23">
        <f t="shared" si="0"/>
        <v>-0.13864314171883896</v>
      </c>
      <c r="C31" s="47">
        <f>E31-[1]US!E31</f>
        <v>-12430.199999999997</v>
      </c>
      <c r="D31" s="1">
        <f>F31-[1]US!F31</f>
        <v>-13101.940000000002</v>
      </c>
      <c r="E31" s="109">
        <v>75670.2</v>
      </c>
      <c r="F31" s="1">
        <v>87850</v>
      </c>
      <c r="G31" s="1">
        <v>102160.4</v>
      </c>
      <c r="H31" s="1">
        <v>112850.06</v>
      </c>
      <c r="I31" s="1">
        <v>99161.16</v>
      </c>
      <c r="J31" s="1">
        <v>117406.39999999999</v>
      </c>
      <c r="K31" s="1">
        <v>124505</v>
      </c>
      <c r="L31" s="1">
        <v>108838.36</v>
      </c>
      <c r="M31" s="1">
        <v>99106</v>
      </c>
      <c r="N31" s="1">
        <v>109698.58</v>
      </c>
      <c r="O31" s="1">
        <v>134250.48000000001</v>
      </c>
      <c r="P31" s="1">
        <v>137339.82</v>
      </c>
      <c r="Q31" s="1">
        <v>118945.06</v>
      </c>
      <c r="R31" s="1">
        <v>139573</v>
      </c>
      <c r="S31" s="1">
        <v>118611.5</v>
      </c>
      <c r="T31" s="1">
        <v>134881.84</v>
      </c>
      <c r="U31" s="1">
        <v>110279.7</v>
      </c>
      <c r="V31" s="1">
        <v>122975</v>
      </c>
      <c r="W31" s="25">
        <v>94106</v>
      </c>
    </row>
    <row r="32" spans="1:23" x14ac:dyDescent="0.25">
      <c r="A32" s="16" t="s">
        <v>42</v>
      </c>
      <c r="B32" s="23">
        <f t="shared" si="0"/>
        <v>-0.72556342250363026</v>
      </c>
      <c r="C32" s="47">
        <f>E32-[1]US!E32</f>
        <v>-3068.3799999999992</v>
      </c>
      <c r="D32" s="1">
        <f>F32-[1]US!F32</f>
        <v>-5772.5</v>
      </c>
      <c r="E32" s="109">
        <v>7918.84</v>
      </c>
      <c r="F32" s="1">
        <v>28854.9</v>
      </c>
      <c r="G32" s="1">
        <v>17141.560000000001</v>
      </c>
      <c r="H32" s="1">
        <v>26113.88</v>
      </c>
      <c r="I32" s="1">
        <v>24772.12</v>
      </c>
      <c r="J32" s="1">
        <v>21583.66</v>
      </c>
      <c r="K32" s="1">
        <v>39029</v>
      </c>
      <c r="L32" s="1">
        <v>23595.7</v>
      </c>
      <c r="M32" s="1">
        <v>35974</v>
      </c>
      <c r="N32" s="1">
        <v>34343.64</v>
      </c>
      <c r="O32" s="1">
        <v>29660.36</v>
      </c>
      <c r="P32" s="1">
        <v>35851.919999999998</v>
      </c>
      <c r="Q32" s="1">
        <v>26245.42</v>
      </c>
      <c r="R32" s="1">
        <v>43889</v>
      </c>
      <c r="S32" s="1">
        <v>20501.84</v>
      </c>
      <c r="T32" s="1">
        <v>29797.68</v>
      </c>
      <c r="U32" s="1">
        <v>37315.22</v>
      </c>
      <c r="V32" s="1">
        <v>25107</v>
      </c>
      <c r="W32" s="25">
        <v>35499.760000000002</v>
      </c>
    </row>
    <row r="33" spans="1:23" x14ac:dyDescent="0.25">
      <c r="A33" s="16" t="s">
        <v>43</v>
      </c>
      <c r="B33" s="23">
        <f t="shared" si="0"/>
        <v>0.1043915859118878</v>
      </c>
      <c r="C33" s="47">
        <f>E33-[1]US!E33</f>
        <v>-1492.8999999999996</v>
      </c>
      <c r="D33" s="1">
        <f>F33-[1]US!F33</f>
        <v>-1463.7000000000007</v>
      </c>
      <c r="E33" s="109">
        <v>10389.1</v>
      </c>
      <c r="F33" s="1">
        <v>9407.08</v>
      </c>
      <c r="G33" s="1">
        <v>10608.14</v>
      </c>
      <c r="H33" s="1">
        <v>13090.56</v>
      </c>
      <c r="I33" s="1">
        <v>10227.74</v>
      </c>
      <c r="J33" s="1">
        <v>14772.68</v>
      </c>
      <c r="K33" s="1">
        <v>12701</v>
      </c>
      <c r="L33" s="1">
        <v>11796.58</v>
      </c>
      <c r="M33" s="1">
        <v>11647</v>
      </c>
      <c r="N33" s="1">
        <v>9230.66</v>
      </c>
      <c r="O33" s="1">
        <v>13731.34</v>
      </c>
      <c r="P33" s="1">
        <v>12063.68</v>
      </c>
      <c r="Q33" s="1">
        <v>11330.24</v>
      </c>
      <c r="R33" s="1">
        <v>11211</v>
      </c>
      <c r="S33" s="1">
        <v>9633.6</v>
      </c>
      <c r="T33" s="1">
        <v>11157.22</v>
      </c>
      <c r="U33" s="1">
        <v>11541.76</v>
      </c>
      <c r="V33" s="1">
        <v>12109</v>
      </c>
      <c r="W33" s="25">
        <v>9780.4599999999991</v>
      </c>
    </row>
    <row r="34" spans="1:23" x14ac:dyDescent="0.25">
      <c r="A34" s="16" t="s">
        <v>44</v>
      </c>
      <c r="B34" s="23">
        <f t="shared" si="0"/>
        <v>-0.64753677959238765</v>
      </c>
      <c r="C34" s="47">
        <f>E34-[1]US!E34</f>
        <v>-424.9</v>
      </c>
      <c r="D34" s="1">
        <f>F34-[1]US!F34</f>
        <v>-401.00000000000011</v>
      </c>
      <c r="E34" s="109">
        <v>261.14</v>
      </c>
      <c r="F34" s="1">
        <v>740.9</v>
      </c>
      <c r="G34" s="1">
        <v>116.72</v>
      </c>
      <c r="H34" s="1">
        <v>222</v>
      </c>
      <c r="I34" s="1">
        <v>171.98</v>
      </c>
      <c r="J34" s="1">
        <v>910.42</v>
      </c>
      <c r="K34" s="1">
        <v>1262</v>
      </c>
      <c r="L34" s="1">
        <v>613.58000000000004</v>
      </c>
      <c r="M34" s="1">
        <v>1316</v>
      </c>
      <c r="N34" s="1">
        <v>644.36</v>
      </c>
      <c r="O34" s="1">
        <v>1130.1400000000001</v>
      </c>
      <c r="P34" s="1">
        <v>1884.36</v>
      </c>
      <c r="Q34" s="1">
        <v>944.04</v>
      </c>
      <c r="R34" s="1">
        <v>2211</v>
      </c>
      <c r="S34" s="1">
        <v>640.16</v>
      </c>
      <c r="T34" s="1">
        <v>1669.46</v>
      </c>
      <c r="U34" s="1">
        <v>2175.36</v>
      </c>
      <c r="V34" s="1">
        <v>1554</v>
      </c>
      <c r="W34" s="25">
        <v>1731.9</v>
      </c>
    </row>
    <row r="35" spans="1:23" x14ac:dyDescent="0.25">
      <c r="A35" s="16" t="s">
        <v>148</v>
      </c>
      <c r="B35" s="23">
        <f t="shared" si="0"/>
        <v>4.046753246753247</v>
      </c>
      <c r="C35" s="47">
        <f>E35-[1]US!E35</f>
        <v>-55.94</v>
      </c>
      <c r="D35" s="1">
        <f>F35-[1]US!F35</f>
        <v>-34.44</v>
      </c>
      <c r="E35" s="109">
        <v>38.86</v>
      </c>
      <c r="F35" s="1">
        <v>7.7</v>
      </c>
      <c r="G35" s="1">
        <v>103.02</v>
      </c>
      <c r="H35" s="1">
        <v>52.78</v>
      </c>
      <c r="I35" s="1">
        <v>31.74</v>
      </c>
      <c r="J35" s="1">
        <v>46.96</v>
      </c>
      <c r="K35" s="1">
        <v>359</v>
      </c>
      <c r="L35" s="1">
        <v>171.78</v>
      </c>
      <c r="M35" s="1">
        <v>45</v>
      </c>
      <c r="N35" s="1">
        <v>47.62</v>
      </c>
      <c r="O35" s="1">
        <v>136.58000000000001</v>
      </c>
      <c r="P35" s="1">
        <v>227.12</v>
      </c>
      <c r="Q35" s="1">
        <v>135.52000000000001</v>
      </c>
      <c r="R35" s="1">
        <v>842</v>
      </c>
      <c r="S35" s="1">
        <v>220.78</v>
      </c>
      <c r="T35" s="1"/>
      <c r="U35" s="1"/>
      <c r="V35" s="1"/>
      <c r="W35" s="25"/>
    </row>
    <row r="36" spans="1:23" x14ac:dyDescent="0.25">
      <c r="A36" s="16" t="s">
        <v>45</v>
      </c>
      <c r="B36" s="23">
        <f t="shared" si="0"/>
        <v>-0.26008010680907878</v>
      </c>
      <c r="C36" s="47">
        <f>E36-[1]US!E36</f>
        <v>-13.879999999999995</v>
      </c>
      <c r="D36" s="1">
        <f>F36-[1]US!F36</f>
        <v>-37.36</v>
      </c>
      <c r="E36" s="109">
        <v>55.42</v>
      </c>
      <c r="F36" s="1">
        <v>74.900000000000006</v>
      </c>
      <c r="G36" s="1">
        <v>32.08</v>
      </c>
      <c r="H36" s="1">
        <v>27.86</v>
      </c>
      <c r="I36" s="1">
        <v>179.44</v>
      </c>
      <c r="J36" s="1">
        <v>149.9</v>
      </c>
      <c r="K36" s="1">
        <v>207</v>
      </c>
      <c r="L36" s="1">
        <v>178</v>
      </c>
      <c r="M36" s="1">
        <v>352</v>
      </c>
      <c r="N36" s="1">
        <v>28.04</v>
      </c>
      <c r="O36" s="1">
        <v>158.88</v>
      </c>
      <c r="P36" s="1">
        <v>341</v>
      </c>
      <c r="Q36" s="1">
        <v>295.14</v>
      </c>
      <c r="R36" s="1">
        <v>488</v>
      </c>
      <c r="S36" s="1">
        <v>65.62</v>
      </c>
      <c r="T36" s="1">
        <v>167.44</v>
      </c>
      <c r="U36" s="1">
        <v>328.08</v>
      </c>
      <c r="V36" s="1">
        <v>220</v>
      </c>
      <c r="W36" s="25">
        <v>305.48</v>
      </c>
    </row>
    <row r="37" spans="1:23" x14ac:dyDescent="0.25">
      <c r="A37" s="16" t="s">
        <v>166</v>
      </c>
      <c r="B37" s="23">
        <f t="shared" si="0"/>
        <v>-0.90452919102888563</v>
      </c>
      <c r="C37" s="47">
        <f>E37-[1]US!E37</f>
        <v>-101.66</v>
      </c>
      <c r="D37" s="1">
        <f>F37-[1]US!F37</f>
        <v>-118.58000000000004</v>
      </c>
      <c r="E37" s="109">
        <v>43.76</v>
      </c>
      <c r="F37" s="1">
        <v>458.36</v>
      </c>
      <c r="G37" s="1">
        <v>59.5</v>
      </c>
      <c r="H37" s="1">
        <v>299.98</v>
      </c>
      <c r="I37" s="1">
        <v>152.24</v>
      </c>
      <c r="J37" s="1">
        <v>355.54</v>
      </c>
      <c r="K37" s="1">
        <v>397</v>
      </c>
      <c r="L37" s="1">
        <v>19</v>
      </c>
      <c r="M37" s="1">
        <v>383</v>
      </c>
      <c r="N37" s="1">
        <v>22.32</v>
      </c>
      <c r="O37" s="1"/>
      <c r="P37" s="1"/>
      <c r="Q37" s="1"/>
      <c r="R37" s="1"/>
      <c r="S37" s="1"/>
      <c r="T37" s="1"/>
      <c r="U37" s="1"/>
      <c r="V37" s="1"/>
      <c r="W37" s="25"/>
    </row>
    <row r="38" spans="1:23" hidden="1" x14ac:dyDescent="0.25">
      <c r="A38" s="16" t="s">
        <v>46</v>
      </c>
      <c r="B38" s="23" t="str">
        <f t="shared" si="0"/>
        <v/>
      </c>
      <c r="C38" s="47">
        <f>E38-[1]US!E38</f>
        <v>0</v>
      </c>
      <c r="D38" s="1">
        <f>F38-[1]US!F38</f>
        <v>0</v>
      </c>
      <c r="E38" s="109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>
        <v>173.16</v>
      </c>
      <c r="R38" s="1">
        <v>141</v>
      </c>
      <c r="S38" s="1">
        <v>7.78</v>
      </c>
      <c r="T38" s="1">
        <v>127.38</v>
      </c>
      <c r="U38" s="1">
        <v>199.36</v>
      </c>
      <c r="V38" s="1">
        <v>158</v>
      </c>
      <c r="W38" s="25">
        <v>188.92</v>
      </c>
    </row>
    <row r="39" spans="1:23" x14ac:dyDescent="0.25">
      <c r="A39" s="16" t="s">
        <v>48</v>
      </c>
      <c r="B39" s="23">
        <f t="shared" si="0"/>
        <v>-0.87802422340015995</v>
      </c>
      <c r="C39" s="47">
        <f>E39-[1]US!E39</f>
        <v>-101.4</v>
      </c>
      <c r="D39" s="1">
        <f>F39-[1]US!F39</f>
        <v>-303.91999999999996</v>
      </c>
      <c r="E39" s="109">
        <v>82.38</v>
      </c>
      <c r="F39" s="1">
        <v>675.38</v>
      </c>
      <c r="G39" s="1">
        <v>515.24</v>
      </c>
      <c r="H39" s="1">
        <v>9.02</v>
      </c>
      <c r="I39" s="1">
        <v>123.74</v>
      </c>
      <c r="J39" s="1">
        <v>88.14</v>
      </c>
      <c r="K39" s="1">
        <v>227</v>
      </c>
      <c r="L39" s="1">
        <v>145.5</v>
      </c>
      <c r="M39" s="1">
        <v>124</v>
      </c>
      <c r="N39" s="1">
        <v>246.12</v>
      </c>
      <c r="O39" s="1">
        <v>692.48</v>
      </c>
      <c r="P39" s="1">
        <v>331</v>
      </c>
      <c r="Q39" s="1">
        <v>949.38</v>
      </c>
      <c r="R39" s="1">
        <v>315</v>
      </c>
      <c r="S39" s="1">
        <v>429.62</v>
      </c>
      <c r="T39" s="1">
        <v>606.02</v>
      </c>
      <c r="U39" s="1">
        <v>1475.58</v>
      </c>
      <c r="V39" s="1">
        <v>1432</v>
      </c>
      <c r="W39" s="25">
        <v>1238.6199999999999</v>
      </c>
    </row>
    <row r="40" spans="1:23" ht="13.8" thickBot="1" x14ac:dyDescent="0.3">
      <c r="A40" s="26" t="s">
        <v>47</v>
      </c>
      <c r="B40" s="24">
        <f t="shared" si="0"/>
        <v>-0.23671665475433268</v>
      </c>
      <c r="C40" s="48">
        <f>E40-[1]US!E40</f>
        <v>-13641.619999999999</v>
      </c>
      <c r="D40" s="9">
        <f>F40-[1]US!F40</f>
        <v>-13075.14</v>
      </c>
      <c r="E40" s="126">
        <v>11640.3</v>
      </c>
      <c r="F40" s="9">
        <v>15250.3</v>
      </c>
      <c r="G40" s="9">
        <v>16700.12</v>
      </c>
      <c r="H40" s="9">
        <v>19481.580000000002</v>
      </c>
      <c r="I40" s="9">
        <v>17550.919999999998</v>
      </c>
      <c r="J40" s="9">
        <v>12871.98</v>
      </c>
      <c r="K40" s="9">
        <v>34531</v>
      </c>
      <c r="L40" s="9">
        <v>10624.36</v>
      </c>
      <c r="M40" s="81">
        <v>17556</v>
      </c>
      <c r="N40" s="9">
        <v>8851</v>
      </c>
      <c r="O40" s="9">
        <v>12553.66</v>
      </c>
      <c r="P40" s="9">
        <v>15762</v>
      </c>
      <c r="Q40" s="9">
        <v>12892.18</v>
      </c>
      <c r="R40" s="9">
        <v>11547</v>
      </c>
      <c r="S40" s="9">
        <v>5967.26</v>
      </c>
      <c r="T40" s="9">
        <v>4902</v>
      </c>
      <c r="U40" s="9">
        <v>5832.02</v>
      </c>
      <c r="V40" s="9">
        <v>6491</v>
      </c>
      <c r="W40" s="27">
        <v>5194</v>
      </c>
    </row>
    <row r="41" spans="1:23" ht="13.8" thickBot="1" x14ac:dyDescent="0.3">
      <c r="A41" s="28" t="s">
        <v>23</v>
      </c>
      <c r="B41" s="29">
        <f t="shared" si="0"/>
        <v>-0.25969609722388121</v>
      </c>
      <c r="C41" s="49">
        <f>E41-[1]US!E41</f>
        <v>-31330.880000000005</v>
      </c>
      <c r="D41" s="30">
        <f>F41-[1]US!F41</f>
        <v>-34308.580000000016</v>
      </c>
      <c r="E41" s="102">
        <f t="shared" ref="E41:O41" si="4">SUM(E31:E40)</f>
        <v>106100</v>
      </c>
      <c r="F41" s="30">
        <f t="shared" si="4"/>
        <v>143319.51999999999</v>
      </c>
      <c r="G41" s="30">
        <f t="shared" si="4"/>
        <v>147436.78</v>
      </c>
      <c r="H41" s="30">
        <f t="shared" si="4"/>
        <v>172147.71999999997</v>
      </c>
      <c r="I41" s="30">
        <f t="shared" si="4"/>
        <v>152371.07999999996</v>
      </c>
      <c r="J41" s="30">
        <f t="shared" si="4"/>
        <v>168185.68000000002</v>
      </c>
      <c r="K41" s="30">
        <f t="shared" si="4"/>
        <v>213218</v>
      </c>
      <c r="L41" s="30">
        <f t="shared" si="4"/>
        <v>155982.85999999999</v>
      </c>
      <c r="M41" s="30">
        <f t="shared" si="4"/>
        <v>166503</v>
      </c>
      <c r="N41" s="30">
        <f t="shared" si="4"/>
        <v>163112.34</v>
      </c>
      <c r="O41" s="30">
        <f t="shared" si="4"/>
        <v>192313.92000000004</v>
      </c>
      <c r="P41" s="30">
        <f t="shared" ref="P41:W41" si="5">SUM(P31:P40)</f>
        <v>203800.89999999997</v>
      </c>
      <c r="Q41" s="30">
        <f t="shared" si="5"/>
        <v>171910.13999999998</v>
      </c>
      <c r="R41" s="30">
        <f t="shared" si="5"/>
        <v>210217</v>
      </c>
      <c r="S41" s="30">
        <f t="shared" si="5"/>
        <v>156078.16</v>
      </c>
      <c r="T41" s="30">
        <f t="shared" si="5"/>
        <v>183309.03999999998</v>
      </c>
      <c r="U41" s="30">
        <f t="shared" si="5"/>
        <v>169147.07999999993</v>
      </c>
      <c r="V41" s="30">
        <f t="shared" si="5"/>
        <v>170046</v>
      </c>
      <c r="W41" s="96">
        <f t="shared" si="5"/>
        <v>148045.14000000001</v>
      </c>
    </row>
    <row r="42" spans="1:23" x14ac:dyDescent="0.25">
      <c r="B42" t="str">
        <f t="shared" si="0"/>
        <v/>
      </c>
    </row>
    <row r="43" spans="1:23" x14ac:dyDescent="0.25">
      <c r="B43" t="str">
        <f t="shared" si="0"/>
        <v/>
      </c>
    </row>
    <row r="44" spans="1:23" x14ac:dyDescent="0.25">
      <c r="B44" t="str">
        <f t="shared" si="0"/>
        <v/>
      </c>
    </row>
    <row r="45" spans="1:23" x14ac:dyDescent="0.25">
      <c r="B45" t="str">
        <f t="shared" si="0"/>
        <v/>
      </c>
    </row>
    <row r="46" spans="1:23" x14ac:dyDescent="0.25">
      <c r="B46" t="str">
        <f t="shared" si="0"/>
        <v/>
      </c>
    </row>
    <row r="47" spans="1:23" x14ac:dyDescent="0.25">
      <c r="B47" t="str">
        <f t="shared" si="0"/>
        <v/>
      </c>
    </row>
    <row r="48" spans="1:23" x14ac:dyDescent="0.25">
      <c r="B48" t="str">
        <f t="shared" si="0"/>
        <v/>
      </c>
    </row>
    <row r="49" spans="1:7" x14ac:dyDescent="0.25">
      <c r="B49" t="str">
        <f t="shared" si="0"/>
        <v/>
      </c>
    </row>
    <row r="50" spans="1:7" x14ac:dyDescent="0.25">
      <c r="B50" t="str">
        <f t="shared" si="0"/>
        <v/>
      </c>
    </row>
    <row r="53" spans="1:7" hidden="1" x14ac:dyDescent="0.25">
      <c r="A53" s="1"/>
      <c r="E53" s="1"/>
      <c r="F53" s="1">
        <f>F27-C27-[1]US!$E$27</f>
        <v>84461.84583003493</v>
      </c>
      <c r="G53" s="1">
        <f>G27-D27-[1]US!$F$27</f>
        <v>-537471.24349397048</v>
      </c>
    </row>
    <row r="54" spans="1:7" hidden="1" x14ac:dyDescent="0.25">
      <c r="E54" s="1"/>
      <c r="F54" s="1">
        <f>F41-C41-[1]US!$E$41</f>
        <v>37219.51999999999</v>
      </c>
      <c r="G54" s="1">
        <f>G41-D41-[1]US!$F$41</f>
        <v>4117.2600000000093</v>
      </c>
    </row>
  </sheetData>
  <phoneticPr fontId="2" type="noConversion"/>
  <conditionalFormatting sqref="E53:G54">
    <cfRule type="cellIs" dxfId="3" priority="1" operator="equal">
      <formula>0</formula>
    </cfRule>
    <cfRule type="cellIs" dxfId="2" priority="2" operator="notEqual">
      <formula>0</formula>
    </cfRule>
  </conditionalFormatting>
  <pageMargins left="0.75" right="0.75" top="1" bottom="1" header="0.5" footer="0.5"/>
  <pageSetup paperSize="9" orientation="portrait"/>
  <headerFooter alignWithMargins="0"/>
  <ignoredErrors>
    <ignoredError sqref="H41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AB92"/>
  <sheetViews>
    <sheetView topLeftCell="A8" zoomScaleNormal="100" workbookViewId="0"/>
  </sheetViews>
  <sheetFormatPr defaultColWidth="9.109375" defaultRowHeight="13.2" x14ac:dyDescent="0.25"/>
  <cols>
    <col min="1" max="1" width="21.6640625" customWidth="1"/>
    <col min="2" max="2" width="10.6640625" customWidth="1"/>
    <col min="3" max="3" width="11.6640625" customWidth="1"/>
    <col min="4" max="12" width="11.77734375" customWidth="1"/>
    <col min="13" max="23" width="10.109375" bestFit="1" customWidth="1"/>
    <col min="26" max="26" width="21.77734375" customWidth="1"/>
  </cols>
  <sheetData>
    <row r="1" spans="1:28" ht="13.8" thickBot="1" x14ac:dyDescent="0.3">
      <c r="A1" s="19" t="s">
        <v>24</v>
      </c>
      <c r="B1" s="20" t="s">
        <v>182</v>
      </c>
      <c r="C1" s="46" t="s">
        <v>183</v>
      </c>
      <c r="D1" s="79" t="s">
        <v>180</v>
      </c>
      <c r="E1" s="127">
        <v>45658</v>
      </c>
      <c r="F1" s="82">
        <v>45292</v>
      </c>
      <c r="G1" s="82">
        <v>44927</v>
      </c>
      <c r="H1" s="82">
        <v>44562</v>
      </c>
      <c r="I1" s="82">
        <v>44197</v>
      </c>
      <c r="J1" s="82">
        <v>43831</v>
      </c>
      <c r="K1" s="82">
        <v>43466</v>
      </c>
      <c r="L1" s="21">
        <v>43101</v>
      </c>
      <c r="M1" s="21">
        <v>42736</v>
      </c>
      <c r="N1" s="82">
        <v>42370</v>
      </c>
      <c r="O1" s="82">
        <v>42005</v>
      </c>
      <c r="P1" s="82">
        <v>41640</v>
      </c>
      <c r="Q1" s="82">
        <v>41275</v>
      </c>
      <c r="R1" s="82">
        <v>40909</v>
      </c>
      <c r="S1" s="82">
        <v>40544</v>
      </c>
      <c r="T1" s="82">
        <v>40179</v>
      </c>
      <c r="U1" s="82">
        <v>39814</v>
      </c>
      <c r="V1" s="21">
        <v>39448</v>
      </c>
      <c r="W1" s="22">
        <v>39083</v>
      </c>
      <c r="Z1" s="8"/>
      <c r="AA1" s="33"/>
      <c r="AB1" s="33"/>
    </row>
    <row r="2" spans="1:28" x14ac:dyDescent="0.25">
      <c r="A2" s="16" t="s">
        <v>8</v>
      </c>
      <c r="B2" s="23">
        <f>IFERROR((E2/F2-1), "")</f>
        <v>-0.35550315078101513</v>
      </c>
      <c r="C2" s="47">
        <f>E2-'[1]EU - country'!E2</f>
        <v>-5931.5538050797186</v>
      </c>
      <c r="D2" s="1">
        <f>F2-'[1]EU - country'!F2</f>
        <v>-8306.5138940064498</v>
      </c>
      <c r="E2" s="109">
        <f>Austria!E$21</f>
        <v>54418.860164512342</v>
      </c>
      <c r="F2" s="1">
        <f>Austria!F$21</f>
        <v>84436.192714453588</v>
      </c>
      <c r="G2" s="1">
        <f>Austria!G$21</f>
        <v>111244.63966646814</v>
      </c>
      <c r="H2" s="1">
        <f>Austria!H$21</f>
        <v>89801.310303752238</v>
      </c>
      <c r="I2" s="1">
        <f>Austria!I$21</f>
        <v>86897.299999999988</v>
      </c>
      <c r="J2" s="1">
        <f>Austria!J$21</f>
        <v>86587</v>
      </c>
      <c r="K2" s="1">
        <f>Austria!K$21</f>
        <v>105129.14000000001</v>
      </c>
      <c r="L2" s="1">
        <f>Austria!L$21</f>
        <v>55219</v>
      </c>
      <c r="M2" s="1">
        <f>Austria!M$21</f>
        <v>27726.650000000005</v>
      </c>
      <c r="N2" s="1">
        <f>Austria!N$21</f>
        <v>119410.09999999999</v>
      </c>
      <c r="O2" s="1">
        <f>Austria!O$21</f>
        <v>123349</v>
      </c>
      <c r="P2" s="1">
        <f>Austria!P$21</f>
        <v>113206.86</v>
      </c>
      <c r="Q2" s="1">
        <f>Austria!Q$21</f>
        <v>103699</v>
      </c>
      <c r="R2" s="1">
        <f>Austria!R$21</f>
        <v>143411.37</v>
      </c>
      <c r="S2" s="1">
        <f>Austria!S$21</f>
        <v>134492</v>
      </c>
      <c r="T2" s="1">
        <f>Austria!T$21</f>
        <v>131438</v>
      </c>
      <c r="U2" s="1">
        <f>Austria!U$21</f>
        <v>116170</v>
      </c>
      <c r="V2" s="1">
        <f>Austria!V$21</f>
        <v>117438</v>
      </c>
      <c r="W2" s="25">
        <f>Austria!W$21</f>
        <v>103971</v>
      </c>
      <c r="Y2" s="3"/>
      <c r="AA2" s="1"/>
      <c r="AB2" s="1"/>
    </row>
    <row r="3" spans="1:28" x14ac:dyDescent="0.25">
      <c r="A3" s="16" t="s">
        <v>0</v>
      </c>
      <c r="B3" s="23">
        <f t="shared" ref="B3:B50" si="0">IFERROR((E3/F3-1), "")</f>
        <v>-0.15053126174769316</v>
      </c>
      <c r="C3" s="47">
        <f>E3-'[1]EU - country'!E3</f>
        <v>-19872.026535008074</v>
      </c>
      <c r="D3" s="1">
        <f>F3-'[1]EU - country'!F3</f>
        <v>-39827.901138189976</v>
      </c>
      <c r="E3" s="109">
        <f>Belgium!E$10</f>
        <v>76453.885380184132</v>
      </c>
      <c r="F3" s="1">
        <f>Belgium!F$10</f>
        <v>90002.000000000015</v>
      </c>
      <c r="G3" s="1">
        <f>Belgium!G$10</f>
        <v>81455.852309815455</v>
      </c>
      <c r="H3" s="1">
        <f>Belgium!H$10</f>
        <v>125783.91848893541</v>
      </c>
      <c r="I3" s="1">
        <f>Belgium!I$10</f>
        <v>79163</v>
      </c>
      <c r="J3" s="1">
        <f>Belgium!J$10</f>
        <v>120233</v>
      </c>
      <c r="K3" s="1">
        <f>Belgium!K$10</f>
        <v>130699</v>
      </c>
      <c r="L3" s="1">
        <f>Belgium!L$10</f>
        <v>21851</v>
      </c>
      <c r="M3" s="1">
        <f>Belgium!M$10</f>
        <v>87931</v>
      </c>
      <c r="N3" s="1">
        <f>Belgium!N$10</f>
        <v>147359</v>
      </c>
      <c r="O3" s="1">
        <f>Belgium!O$10</f>
        <v>167496</v>
      </c>
      <c r="P3" s="1">
        <f>Belgium!P$10</f>
        <v>107068</v>
      </c>
      <c r="Q3" s="1">
        <f>Belgium!Q$10</f>
        <v>100105</v>
      </c>
      <c r="R3" s="1">
        <f>Belgium!R$10</f>
        <v>119986</v>
      </c>
      <c r="S3" s="1">
        <f>Belgium!S$10</f>
        <v>106357</v>
      </c>
      <c r="T3" s="1">
        <f>Belgium!T$10</f>
        <v>147073</v>
      </c>
      <c r="U3" s="1">
        <f>Belgium!U$10</f>
        <v>184500</v>
      </c>
      <c r="V3" s="1">
        <f>Belgium!V$10</f>
        <v>170300</v>
      </c>
      <c r="W3" s="25">
        <f>Belgium!W$10</f>
        <v>178000</v>
      </c>
      <c r="AA3" s="1"/>
      <c r="AB3" s="1"/>
    </row>
    <row r="4" spans="1:28" x14ac:dyDescent="0.25">
      <c r="A4" s="16" t="s">
        <v>31</v>
      </c>
      <c r="B4" s="23">
        <f t="shared" si="0"/>
        <v>-0.61637583892617442</v>
      </c>
      <c r="C4" s="47">
        <f>E4-'[1]EU - country'!E4</f>
        <v>-3126</v>
      </c>
      <c r="D4" s="1">
        <f>F4-'[1]EU - country'!F4</f>
        <v>-7114</v>
      </c>
      <c r="E4" s="109">
        <f>'Czech Republic'!E$12</f>
        <v>14290</v>
      </c>
      <c r="F4" s="1">
        <f>'Czech Republic'!F$12</f>
        <v>37250</v>
      </c>
      <c r="G4" s="1">
        <f>'Czech Republic'!G$12</f>
        <v>53052</v>
      </c>
      <c r="H4" s="1">
        <f>'Czech Republic'!H$12</f>
        <v>44184</v>
      </c>
      <c r="I4" s="1">
        <f>'Czech Republic'!I$12</f>
        <v>46246</v>
      </c>
      <c r="J4" s="1">
        <f>'Czech Republic'!J$12</f>
        <v>31769</v>
      </c>
      <c r="K4" s="1">
        <f>'Czech Republic'!K$12</f>
        <v>55345</v>
      </c>
      <c r="L4" s="1">
        <f>'Czech Republic'!L$12</f>
        <v>34857</v>
      </c>
      <c r="M4" s="1">
        <f>'Czech Republic'!M$12</f>
        <v>33845</v>
      </c>
      <c r="N4" s="1">
        <f>'Czech Republic'!N$12</f>
        <v>49401</v>
      </c>
      <c r="O4" s="1">
        <f>'Czech Republic'!O$12</f>
        <v>41041</v>
      </c>
      <c r="P4" s="1">
        <f>'Czech Republic'!P$12</f>
        <v>33184</v>
      </c>
      <c r="Q4" s="1">
        <f>'Czech Republic'!Q$12</f>
        <v>31660</v>
      </c>
      <c r="R4" s="1">
        <f>'Czech Republic'!R$12</f>
        <v>21126</v>
      </c>
      <c r="S4" s="1">
        <f>'Czech Republic'!S$12</f>
        <v>24127</v>
      </c>
      <c r="T4" s="1">
        <f>'Czech Republic'!T$12</f>
        <v>35546</v>
      </c>
      <c r="U4" s="1">
        <f>'Czech Republic'!U$12</f>
        <v>41333</v>
      </c>
      <c r="V4" s="1">
        <f>'Czech Republic'!V$12</f>
        <v>23761</v>
      </c>
      <c r="W4" s="25">
        <f>'Czech Republic'!W$12</f>
        <v>32562</v>
      </c>
      <c r="Y4" s="3"/>
      <c r="AA4" s="1"/>
      <c r="AB4" s="1"/>
    </row>
    <row r="5" spans="1:28" x14ac:dyDescent="0.25">
      <c r="A5" s="16" t="s">
        <v>40</v>
      </c>
      <c r="B5" s="23">
        <f t="shared" si="0"/>
        <v>0.34267819862809423</v>
      </c>
      <c r="C5" s="47">
        <f>E5-'[1]EU - country'!E5</f>
        <v>-3335</v>
      </c>
      <c r="D5" s="1">
        <f>F5-'[1]EU - country'!F5</f>
        <v>-2164</v>
      </c>
      <c r="E5" s="109">
        <f>Denmark!E$20</f>
        <v>9004</v>
      </c>
      <c r="F5" s="1">
        <f>Denmark!F$20</f>
        <v>6706</v>
      </c>
      <c r="G5" s="1">
        <f>Denmark!G$20</f>
        <v>8490</v>
      </c>
      <c r="H5" s="1">
        <f>Denmark!H$20</f>
        <v>8695</v>
      </c>
      <c r="I5" s="1">
        <f>Denmark!I$20</f>
        <v>6675</v>
      </c>
      <c r="J5" s="1">
        <f>Denmark!J$20</f>
        <v>6406</v>
      </c>
      <c r="K5" s="1">
        <f>Denmark!K$20</f>
        <v>12032</v>
      </c>
      <c r="L5" s="1">
        <f>Denmark!L$20</f>
        <v>5901</v>
      </c>
      <c r="M5" s="1">
        <f>Denmark!M$20</f>
        <v>10581</v>
      </c>
      <c r="N5" s="1">
        <f>Denmark!N$20</f>
        <v>9889</v>
      </c>
      <c r="O5" s="1">
        <f>Denmark!O$20</f>
        <v>8319</v>
      </c>
      <c r="P5" s="1">
        <f>Denmark!P$20</f>
        <v>8468</v>
      </c>
      <c r="Q5" s="1">
        <f>Denmark!Q$20</f>
        <v>6041</v>
      </c>
      <c r="R5" s="1">
        <f>Denmark!R$20</f>
        <v>6712</v>
      </c>
      <c r="S5" s="1">
        <f>Denmark!S$20</f>
        <v>5948</v>
      </c>
      <c r="T5" s="1">
        <f>Denmark!T$20</f>
        <v>7965</v>
      </c>
      <c r="U5" s="1">
        <f>Denmark!U$20</f>
        <v>9656</v>
      </c>
      <c r="V5" s="1">
        <f>Denmark!V$20</f>
        <v>6700</v>
      </c>
      <c r="W5" s="25">
        <f>Denmark!W$20</f>
        <v>4635</v>
      </c>
      <c r="Y5" s="3"/>
      <c r="AA5" s="1"/>
      <c r="AB5" s="1"/>
    </row>
    <row r="6" spans="1:28" ht="14.25" customHeight="1" x14ac:dyDescent="0.3">
      <c r="A6" s="37" t="s">
        <v>133</v>
      </c>
      <c r="B6" s="23">
        <f t="shared" si="0"/>
        <v>-2.5230533189548154E-2</v>
      </c>
      <c r="C6" s="47">
        <f>E6-'[1]EU - country'!E6</f>
        <v>-92684</v>
      </c>
      <c r="D6" s="1">
        <f>F6-'[1]EU - country'!F6</f>
        <v>-79680</v>
      </c>
      <c r="E6" s="109">
        <f>France!E26</f>
        <v>620084</v>
      </c>
      <c r="F6" s="1">
        <f>France!F26</f>
        <v>636134</v>
      </c>
      <c r="G6" s="1">
        <f>France!G26</f>
        <v>559615</v>
      </c>
      <c r="H6" s="1">
        <f>France!H$26</f>
        <v>600112</v>
      </c>
      <c r="I6" s="1">
        <f>France!I$26</f>
        <v>570156</v>
      </c>
      <c r="J6" s="1">
        <f>France!J$26</f>
        <v>672186</v>
      </c>
      <c r="K6" s="1">
        <f>France!K$26</f>
        <v>565370</v>
      </c>
      <c r="L6" s="1">
        <f>France!L$26</f>
        <v>565865</v>
      </c>
      <c r="M6" s="35">
        <f>France!M$26</f>
        <v>533235</v>
      </c>
      <c r="N6" s="35">
        <f>France!N$26</f>
        <v>568112</v>
      </c>
      <c r="O6" s="35">
        <f>France!O$26</f>
        <v>519220</v>
      </c>
      <c r="P6" s="35">
        <f>France!P$26</f>
        <v>621666</v>
      </c>
      <c r="Q6" s="35">
        <f>France!Q$26</f>
        <v>358361</v>
      </c>
      <c r="R6" s="35">
        <f>France!R$26</f>
        <v>586418</v>
      </c>
      <c r="S6" s="35">
        <f>France!S$26</f>
        <v>554187</v>
      </c>
      <c r="T6" s="35">
        <f>France!T$26</f>
        <v>601593</v>
      </c>
      <c r="U6" s="35">
        <f>France!U$26</f>
        <v>405285</v>
      </c>
      <c r="V6" s="110"/>
      <c r="W6" s="111"/>
      <c r="Y6" s="3"/>
      <c r="AA6" s="1"/>
      <c r="AB6" s="1"/>
    </row>
    <row r="7" spans="1:28" x14ac:dyDescent="0.25">
      <c r="A7" s="165" t="s">
        <v>28</v>
      </c>
      <c r="B7" s="23">
        <f t="shared" si="0"/>
        <v>-0.12983284301113762</v>
      </c>
      <c r="C7" s="47">
        <f>E7-'[1]EU - country'!E7</f>
        <v>-29802</v>
      </c>
      <c r="D7" s="1">
        <f>F7-'[1]EU - country'!F7</f>
        <v>-45579</v>
      </c>
      <c r="E7" s="109">
        <f>Germany!E$21</f>
        <v>233371</v>
      </c>
      <c r="F7" s="1">
        <f>Germany!F$21</f>
        <v>268191</v>
      </c>
      <c r="G7" s="1">
        <f>Germany!G$21</f>
        <v>343950</v>
      </c>
      <c r="H7" s="1">
        <f>Germany!H$21</f>
        <v>313974</v>
      </c>
      <c r="I7" s="1">
        <f>Germany!I$21</f>
        <v>294633</v>
      </c>
      <c r="J7" s="1">
        <f>Germany!J$21</f>
        <v>295280</v>
      </c>
      <c r="K7" s="1">
        <f>Germany!K$21</f>
        <v>370351</v>
      </c>
      <c r="L7" s="1">
        <f>Germany!L$21</f>
        <v>193367</v>
      </c>
      <c r="M7" s="1">
        <f>Germany!M$21</f>
        <v>353706</v>
      </c>
      <c r="N7" s="1">
        <f>Germany!N$21</f>
        <v>340177</v>
      </c>
      <c r="O7" s="1">
        <f>Germany!O$21</f>
        <v>370603</v>
      </c>
      <c r="P7" s="1">
        <f>Germany!P$21</f>
        <v>274480</v>
      </c>
      <c r="Q7" s="1">
        <f>Germany!Q$21</f>
        <v>330803</v>
      </c>
      <c r="R7" s="1">
        <f>Germany!R$21</f>
        <v>343341</v>
      </c>
      <c r="S7" s="1">
        <f>Germany!S$21</f>
        <v>271530</v>
      </c>
      <c r="T7" s="1">
        <f>Germany!T$21</f>
        <v>361546</v>
      </c>
      <c r="U7" s="1">
        <f>Germany!U$21</f>
        <v>313748</v>
      </c>
      <c r="V7" s="1">
        <f>Germany!V$21</f>
        <v>296178</v>
      </c>
      <c r="W7" s="25">
        <f>Germany!W$21</f>
        <v>285797</v>
      </c>
      <c r="Y7" s="3"/>
      <c r="AA7" s="1"/>
      <c r="AB7" s="1"/>
    </row>
    <row r="8" spans="1:28" x14ac:dyDescent="0.25">
      <c r="A8" s="165" t="s">
        <v>16</v>
      </c>
      <c r="B8" s="23">
        <f t="shared" si="0"/>
        <v>5.6326372144423154E-2</v>
      </c>
      <c r="C8" s="47">
        <f>E8-'[1]EU - country'!E8</f>
        <v>-215816.56527820718</v>
      </c>
      <c r="D8" s="1">
        <f>F8-'[1]EU - country'!F8</f>
        <v>-164375.56288627977</v>
      </c>
      <c r="E8" s="109">
        <f>Italy!E$20</f>
        <v>1284228.9611807957</v>
      </c>
      <c r="F8" s="1">
        <f>Italy!F$20</f>
        <v>1215750.1649549021</v>
      </c>
      <c r="G8" s="1">
        <f>Italy!G$20</f>
        <v>1160450.9048290849</v>
      </c>
      <c r="H8" s="1">
        <f>Italy!H$20</f>
        <v>1198597.2877</v>
      </c>
      <c r="I8" s="1">
        <f>Italy!I$20</f>
        <v>1206472.3800000001</v>
      </c>
      <c r="J8" s="1">
        <f>Italy!J$20</f>
        <v>1182560</v>
      </c>
      <c r="K8" s="1">
        <f>Italy!K$20</f>
        <v>1339732.4300000002</v>
      </c>
      <c r="L8" s="1">
        <f>Italy!L$20</f>
        <v>859320.58998272661</v>
      </c>
      <c r="M8" s="1">
        <f>Italy!M$20</f>
        <v>1343896.4049999998</v>
      </c>
      <c r="N8" s="1">
        <f>Italy!N$20</f>
        <v>1313930.4999999998</v>
      </c>
      <c r="O8" s="1">
        <f>Italy!O$20</f>
        <v>1403310</v>
      </c>
      <c r="P8" s="1">
        <f>Italy!P$20</f>
        <v>1221801</v>
      </c>
      <c r="Q8" s="1">
        <f>Italy!Q$20</f>
        <v>1053550</v>
      </c>
      <c r="R8" s="1">
        <f>Italy!R$20</f>
        <v>1252137</v>
      </c>
      <c r="S8" s="1">
        <f>Italy!S$20</f>
        <v>1261740</v>
      </c>
      <c r="T8" s="1">
        <f>Italy!T$20</f>
        <v>1274698</v>
      </c>
      <c r="U8" s="1">
        <f>Italy!U$20</f>
        <v>1229382</v>
      </c>
      <c r="V8" s="1">
        <f>Italy!V$20</f>
        <v>1137898</v>
      </c>
      <c r="W8" s="25">
        <f>Italy!W$20</f>
        <v>1128925</v>
      </c>
      <c r="AA8" s="1"/>
      <c r="AB8" s="1"/>
    </row>
    <row r="9" spans="1:28" x14ac:dyDescent="0.25">
      <c r="A9" s="37" t="s">
        <v>32</v>
      </c>
      <c r="B9" s="23">
        <f t="shared" si="0"/>
        <v>-0.15251141552511416</v>
      </c>
      <c r="C9" s="47">
        <f>E9-'[1]EU - country'!E9</f>
        <v>-139000</v>
      </c>
      <c r="D9" s="1">
        <f>F9-'[1]EU - country'!F9</f>
        <v>-130000</v>
      </c>
      <c r="E9" s="109">
        <f>Poland!E$18</f>
        <v>928000</v>
      </c>
      <c r="F9" s="1">
        <f>Poland!F$18</f>
        <v>1095000</v>
      </c>
      <c r="G9" s="1">
        <f>Poland!G$18</f>
        <v>1259000</v>
      </c>
      <c r="H9" s="1">
        <f>Poland!H$18</f>
        <v>1382000</v>
      </c>
      <c r="I9" s="1">
        <f>Poland!I$18</f>
        <v>1365000</v>
      </c>
      <c r="J9" s="1">
        <f>Poland!J$18</f>
        <v>835000</v>
      </c>
      <c r="K9" s="1">
        <f>Poland!K$18</f>
        <v>1474000</v>
      </c>
      <c r="L9" s="1">
        <f>Poland!L$18</f>
        <v>851000</v>
      </c>
      <c r="M9" s="35">
        <f>Poland!M$18</f>
        <v>1223000</v>
      </c>
      <c r="N9" s="35">
        <f>Poland!N$18</f>
        <v>1305500</v>
      </c>
      <c r="O9" s="35">
        <f>Poland!O$18</f>
        <v>1284500</v>
      </c>
      <c r="P9" s="35">
        <f>Poland!P$18</f>
        <v>1085000</v>
      </c>
      <c r="Q9" s="35">
        <f>Poland!Q$18</f>
        <v>1037000</v>
      </c>
      <c r="R9" s="35">
        <f>Poland!R$18</f>
        <v>1025000</v>
      </c>
      <c r="S9" s="35">
        <f>Poland!S$18</f>
        <v>415000</v>
      </c>
      <c r="T9" s="35">
        <f>Poland!T$18</f>
        <v>650000</v>
      </c>
      <c r="U9" s="35">
        <f>Poland!U$18</f>
        <v>580000</v>
      </c>
      <c r="V9" s="35">
        <f>Poland!V$18</f>
        <v>290000</v>
      </c>
      <c r="W9" s="65">
        <f>Poland!W$18</f>
        <v>390000</v>
      </c>
      <c r="Y9" s="3"/>
      <c r="AA9" s="1"/>
      <c r="AB9" s="1"/>
    </row>
    <row r="10" spans="1:28" hidden="1" x14ac:dyDescent="0.25">
      <c r="A10" s="37" t="s">
        <v>152</v>
      </c>
      <c r="B10" s="23" t="str">
        <f t="shared" si="0"/>
        <v/>
      </c>
      <c r="C10" s="47">
        <f>E10-'[1]EU - country'!E10</f>
        <v>0</v>
      </c>
      <c r="D10" s="1">
        <f>F10-'[1]EU - country'!F10</f>
        <v>0</v>
      </c>
      <c r="E10" s="109">
        <f>Portugal!E$9</f>
        <v>0</v>
      </c>
      <c r="F10" s="1">
        <f>Portugal!F$9</f>
        <v>0</v>
      </c>
      <c r="G10" s="1">
        <f>Portugal!G$9</f>
        <v>0</v>
      </c>
      <c r="H10" s="1">
        <f>Portugal!H$9</f>
        <v>0</v>
      </c>
      <c r="I10" s="1">
        <f>Portugal!I$9</f>
        <v>0</v>
      </c>
      <c r="J10" s="1">
        <f>Portugal!J$9</f>
        <v>0</v>
      </c>
      <c r="K10" s="1">
        <f>Portugal!K$9</f>
        <v>0</v>
      </c>
      <c r="L10" s="1">
        <f>Portugal!L$9</f>
        <v>0</v>
      </c>
      <c r="M10" s="35">
        <f>Portugal!M$9</f>
        <v>0</v>
      </c>
      <c r="N10" s="35">
        <f>Portugal!N$9</f>
        <v>0</v>
      </c>
      <c r="O10" s="35">
        <f>Portugal!O$9</f>
        <v>0</v>
      </c>
      <c r="P10" s="35">
        <f>Portugal!P$9</f>
        <v>0</v>
      </c>
      <c r="Q10" s="35">
        <f>Portugal!Q$9</f>
        <v>0</v>
      </c>
      <c r="R10" s="35">
        <f>Portugal!R$9</f>
        <v>0</v>
      </c>
      <c r="S10" s="35">
        <f>Portugal!S$9</f>
        <v>0</v>
      </c>
      <c r="T10" s="35">
        <f>Portugal!T$9</f>
        <v>0</v>
      </c>
      <c r="U10" s="35">
        <f>Portugal!U$9</f>
        <v>0</v>
      </c>
      <c r="V10" s="35">
        <f>Portugal!V$9</f>
        <v>0</v>
      </c>
      <c r="W10" s="65">
        <f>Portugal!W$9</f>
        <v>0</v>
      </c>
      <c r="Y10" s="3"/>
      <c r="AA10" s="1"/>
      <c r="AB10" s="1"/>
    </row>
    <row r="11" spans="1:28" hidden="1" x14ac:dyDescent="0.25">
      <c r="A11" s="37" t="s">
        <v>175</v>
      </c>
      <c r="B11" s="23" t="str">
        <f t="shared" si="0"/>
        <v/>
      </c>
      <c r="C11" s="47">
        <f>E11-'[1]EU - country'!E11</f>
        <v>0</v>
      </c>
      <c r="D11" s="1">
        <f>F11-'[1]EU - country'!F11</f>
        <v>0</v>
      </c>
      <c r="E11" s="109">
        <f>Slovakia!C11</f>
        <v>0</v>
      </c>
      <c r="F11" s="1">
        <f>Slovakia!D11</f>
        <v>0</v>
      </c>
      <c r="G11" s="1">
        <f>Slovakia!F11</f>
        <v>0</v>
      </c>
      <c r="H11" s="1">
        <f>Slovakia!G11</f>
        <v>8011.5310000000009</v>
      </c>
      <c r="I11" s="1"/>
      <c r="J11" s="1"/>
      <c r="K11" s="1"/>
      <c r="L11" s="1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65"/>
      <c r="Y11" s="3"/>
      <c r="AA11" s="1"/>
      <c r="AB11" s="1"/>
    </row>
    <row r="12" spans="1:28" x14ac:dyDescent="0.25">
      <c r="A12" s="165" t="s">
        <v>37</v>
      </c>
      <c r="B12" s="23">
        <f t="shared" si="0"/>
        <v>6.7809055008621444E-2</v>
      </c>
      <c r="C12" s="47">
        <f>E12-'[1]EU - country'!E12</f>
        <v>-22833.111709063291</v>
      </c>
      <c r="D12" s="1">
        <f>F12-'[1]EU - country'!F12</f>
        <v>-17988.050750175695</v>
      </c>
      <c r="E12" s="109">
        <f>Spain!E$8</f>
        <v>202017.57449010591</v>
      </c>
      <c r="F12" s="1">
        <f>Spain!F$8</f>
        <v>189188.85688647287</v>
      </c>
      <c r="G12" s="1">
        <f>Spain!G$8</f>
        <v>160661.62137288047</v>
      </c>
      <c r="H12" s="1">
        <f>Spain!H$8</f>
        <v>232223.17378859274</v>
      </c>
      <c r="I12" s="1">
        <f>Spain!I$8</f>
        <v>160355.50084056289</v>
      </c>
      <c r="J12" s="1">
        <f>Spain!J$8</f>
        <v>264933.74848563608</v>
      </c>
      <c r="K12" s="1">
        <f>Spain!K$8</f>
        <v>207199.01986722241</v>
      </c>
      <c r="L12" s="1">
        <f>Spain!L$8</f>
        <v>192012</v>
      </c>
      <c r="M12" s="1">
        <f>Spain!M$8</f>
        <v>218267.75274496165</v>
      </c>
      <c r="N12" s="1">
        <f>Spain!N$8</f>
        <v>176919.36942501672</v>
      </c>
      <c r="O12" s="1">
        <f>Spain!O$8</f>
        <v>198652.41238611238</v>
      </c>
      <c r="P12" s="1">
        <f>Spain!P$8</f>
        <v>175592.37703110915</v>
      </c>
      <c r="Q12" s="1">
        <f>Spain!Q$8</f>
        <v>120516.21950918784</v>
      </c>
      <c r="R12" s="1">
        <f>Spain!R$8</f>
        <v>184401</v>
      </c>
      <c r="S12" s="1">
        <f>Spain!S$8</f>
        <v>187831</v>
      </c>
      <c r="T12" s="1">
        <f>Spain!T$8</f>
        <v>152936</v>
      </c>
      <c r="U12" s="1">
        <f>Spain!U$8</f>
        <v>197457</v>
      </c>
      <c r="V12" s="1">
        <f>Spain!V$8</f>
        <v>173285</v>
      </c>
      <c r="W12" s="25">
        <f>Spain!W$8</f>
        <v>146625</v>
      </c>
      <c r="Y12" s="3"/>
      <c r="AA12" s="1"/>
      <c r="AB12" s="1"/>
    </row>
    <row r="13" spans="1:28" x14ac:dyDescent="0.25">
      <c r="A13" s="165" t="s">
        <v>60</v>
      </c>
      <c r="B13" s="23">
        <f t="shared" si="0"/>
        <v>0.30386629882851546</v>
      </c>
      <c r="C13" s="47">
        <f>E13-'[1]EU - country'!E13</f>
        <v>-6635</v>
      </c>
      <c r="D13" s="1">
        <f>F13-'[1]EU - country'!F13</f>
        <v>-6927</v>
      </c>
      <c r="E13" s="109">
        <f>Switzerland!E$19</f>
        <v>65222</v>
      </c>
      <c r="F13" s="1">
        <f>Switzerland!F$19</f>
        <v>50022</v>
      </c>
      <c r="G13" s="1">
        <f>Switzerland!G$19</f>
        <v>54019</v>
      </c>
      <c r="H13" s="1">
        <f>Switzerland!H$19</f>
        <v>58090</v>
      </c>
      <c r="I13" s="1">
        <f>Switzerland!I$19</f>
        <v>57598</v>
      </c>
      <c r="J13" s="1">
        <f>Switzerland!J$19</f>
        <v>55286</v>
      </c>
      <c r="K13" s="1">
        <f>Switzerland!K$19</f>
        <v>62579</v>
      </c>
      <c r="L13" s="1">
        <f>Switzerland!L$19</f>
        <v>36151</v>
      </c>
      <c r="M13" s="1">
        <f>Switzerland!M$19</f>
        <v>56759</v>
      </c>
      <c r="N13" s="1">
        <f>Switzerland!N$19</f>
        <v>56273</v>
      </c>
      <c r="O13" s="1">
        <f>Switzerland!O$19</f>
        <v>56420</v>
      </c>
      <c r="P13" s="1">
        <f>Switzerland!P$19</f>
        <v>57782</v>
      </c>
      <c r="Q13" s="1">
        <f>Switzerland!Q$19</f>
        <v>55493</v>
      </c>
      <c r="R13" s="1">
        <f>Switzerland!R$19</f>
        <v>61882</v>
      </c>
      <c r="S13" s="1">
        <f>Switzerland!S$19</f>
        <v>57532</v>
      </c>
      <c r="T13" s="1">
        <f>Switzerland!T$19</f>
        <v>61623</v>
      </c>
      <c r="U13" s="1">
        <f>Switzerland!U$19</f>
        <v>54449</v>
      </c>
      <c r="V13" s="1">
        <f>Switzerland!V$19</f>
        <v>57493</v>
      </c>
      <c r="W13" s="25">
        <f>Switzerland!W$19</f>
        <v>56292</v>
      </c>
      <c r="Y13" s="3"/>
      <c r="AA13" s="1"/>
      <c r="AB13" s="1"/>
    </row>
    <row r="14" spans="1:28" x14ac:dyDescent="0.25">
      <c r="A14" s="165" t="s">
        <v>1</v>
      </c>
      <c r="B14" s="23">
        <f t="shared" si="0"/>
        <v>1.9573358100564153E-2</v>
      </c>
      <c r="C14" s="47">
        <f>E14-'[1]EU - country'!E14</f>
        <v>-17572</v>
      </c>
      <c r="D14" s="1">
        <f>F14-'[1]EU - country'!F14</f>
        <v>-15849</v>
      </c>
      <c r="E14" s="109">
        <f>Netherlands!E$8</f>
        <v>103190</v>
      </c>
      <c r="F14" s="1">
        <f>Netherlands!F$8</f>
        <v>101209</v>
      </c>
      <c r="G14" s="1">
        <f>Netherlands!G$8</f>
        <v>130871</v>
      </c>
      <c r="H14" s="1">
        <f>Netherlands!H$8</f>
        <v>147021</v>
      </c>
      <c r="I14" s="1">
        <f>Netherlands!I$8</f>
        <v>123981.3</v>
      </c>
      <c r="J14" s="1">
        <f>Netherlands!J$8</f>
        <v>172506</v>
      </c>
      <c r="K14" s="1">
        <f>Netherlands!K$8</f>
        <v>156924</v>
      </c>
      <c r="L14" s="1">
        <f>Netherlands!L$8</f>
        <v>124988</v>
      </c>
      <c r="M14" s="1">
        <f>Netherlands!M$8</f>
        <v>186679</v>
      </c>
      <c r="N14" s="1">
        <f>Netherlands!N$8</f>
        <v>194015</v>
      </c>
      <c r="O14" s="1">
        <f>Netherlands!O$8</f>
        <v>202762</v>
      </c>
      <c r="P14" s="1">
        <f>Netherlands!P$8</f>
        <v>196615</v>
      </c>
      <c r="Q14" s="1">
        <f>Netherlands!Q$8</f>
        <v>176000</v>
      </c>
      <c r="R14" s="1">
        <f>Netherlands!R$8</f>
        <v>244000</v>
      </c>
      <c r="S14" s="1">
        <f>Netherlands!S$8</f>
        <v>179000</v>
      </c>
      <c r="T14" s="1">
        <f>Netherlands!T$8</f>
        <v>242000</v>
      </c>
      <c r="U14" s="1">
        <f>Netherlands!U$8</f>
        <v>215000</v>
      </c>
      <c r="V14" s="1">
        <f>Netherlands!V$8</f>
        <v>210000</v>
      </c>
      <c r="W14" s="25">
        <f>Netherlands!W$8</f>
        <v>195000</v>
      </c>
      <c r="AA14" s="1"/>
      <c r="AB14" s="1"/>
    </row>
    <row r="15" spans="1:28" ht="13.8" thickBot="1" x14ac:dyDescent="0.3">
      <c r="A15" s="166" t="s">
        <v>169</v>
      </c>
      <c r="B15" s="24">
        <f t="shared" ref="B15" si="1">IFERROR((E15/F15-1), "")</f>
        <v>0.25399888614021671</v>
      </c>
      <c r="C15" s="48">
        <f>E15-'[1]EU - country'!E15</f>
        <v>-16845</v>
      </c>
      <c r="D15" s="9">
        <f>F15-'[1]EU - country'!F15</f>
        <v>77209</v>
      </c>
      <c r="E15" s="126">
        <f>UK!E12</f>
        <v>96820</v>
      </c>
      <c r="F15" s="9">
        <f>UK!F12</f>
        <v>77209</v>
      </c>
      <c r="G15" s="9">
        <f>UK!G12</f>
        <v>112368</v>
      </c>
      <c r="H15" s="9">
        <f>UK!H$12</f>
        <v>103111</v>
      </c>
      <c r="I15" s="9">
        <f>UK!I$12</f>
        <v>95454</v>
      </c>
      <c r="J15" s="9">
        <f>UK!J$12</f>
        <v>107901</v>
      </c>
      <c r="K15" s="9">
        <f>UK!K$12</f>
        <v>118515</v>
      </c>
      <c r="L15" s="9">
        <f>UK!L$12</f>
        <v>92428</v>
      </c>
      <c r="M15" s="9">
        <f>UK!M$12</f>
        <v>107363</v>
      </c>
      <c r="N15" s="9">
        <f>UK!N$12</f>
        <v>125500</v>
      </c>
      <c r="O15" s="9">
        <f>UK!O$12</f>
        <v>120500</v>
      </c>
      <c r="P15" s="9">
        <f>UK!P$12</f>
        <v>134900</v>
      </c>
      <c r="Q15" s="9">
        <f>UK!Q$12</f>
        <v>70000</v>
      </c>
      <c r="R15" s="9">
        <f>UK!R$12</f>
        <v>111000</v>
      </c>
      <c r="S15" s="9">
        <f>UK!S$12</f>
        <v>123500</v>
      </c>
      <c r="T15" s="9">
        <f>UK!T$12</f>
        <v>118800</v>
      </c>
      <c r="U15" s="9">
        <f>UK!U$12</f>
        <v>100000</v>
      </c>
      <c r="V15" s="9">
        <f>UK!V$12</f>
        <v>95500</v>
      </c>
      <c r="W15" s="27">
        <f>UK!W$12</f>
        <v>80000</v>
      </c>
      <c r="AA15" s="1"/>
      <c r="AB15" s="1"/>
    </row>
    <row r="16" spans="1:28" ht="13.8" thickBot="1" x14ac:dyDescent="0.3">
      <c r="A16" s="28" t="s">
        <v>23</v>
      </c>
      <c r="B16" s="29">
        <f t="shared" si="0"/>
        <v>-4.2584718488968942E-2</v>
      </c>
      <c r="C16" s="49">
        <f>E16-'[1]EU - country'!E16</f>
        <v>-573452.25732735824</v>
      </c>
      <c r="D16" s="30">
        <f>F16-'[1]EU - country'!F16</f>
        <v>-440602.02866865229</v>
      </c>
      <c r="E16" s="102">
        <f>SUM(E2:E15)</f>
        <v>3687100.2812155979</v>
      </c>
      <c r="F16" s="30">
        <f>SUM(F2:F15)</f>
        <v>3851098.2145558288</v>
      </c>
      <c r="G16" s="30">
        <f t="shared" ref="G16:K16" si="2">SUM(G2:G15)</f>
        <v>4035178.0181782488</v>
      </c>
      <c r="H16" s="30">
        <f t="shared" si="2"/>
        <v>4311604.2212812807</v>
      </c>
      <c r="I16" s="30">
        <f t="shared" si="2"/>
        <v>4092631.4808405628</v>
      </c>
      <c r="J16" s="30">
        <f t="shared" si="2"/>
        <v>3830647.748485636</v>
      </c>
      <c r="K16" s="30">
        <f t="shared" si="2"/>
        <v>4597875.5898672231</v>
      </c>
      <c r="L16" s="30">
        <f t="shared" ref="L16:Q16" si="3">SUM(L2:L15)</f>
        <v>3032959.5899827266</v>
      </c>
      <c r="M16" s="30">
        <f t="shared" si="3"/>
        <v>4182989.8077449612</v>
      </c>
      <c r="N16" s="30">
        <f t="shared" si="3"/>
        <v>4406485.969425017</v>
      </c>
      <c r="O16" s="30">
        <f t="shared" si="3"/>
        <v>4496172.4123861119</v>
      </c>
      <c r="P16" s="30">
        <f t="shared" si="3"/>
        <v>4029763.2370311092</v>
      </c>
      <c r="Q16" s="30">
        <f t="shared" si="3"/>
        <v>3443228.2195091876</v>
      </c>
      <c r="R16" s="30">
        <f t="shared" ref="R16:W16" si="4">SUM(R2:R15)</f>
        <v>4099414.37</v>
      </c>
      <c r="S16" s="30">
        <f t="shared" si="4"/>
        <v>3321244</v>
      </c>
      <c r="T16" s="30">
        <f t="shared" si="4"/>
        <v>3785218</v>
      </c>
      <c r="U16" s="30">
        <f t="shared" si="4"/>
        <v>3446980</v>
      </c>
      <c r="V16" s="30">
        <f t="shared" si="4"/>
        <v>2578553</v>
      </c>
      <c r="W16" s="31">
        <f t="shared" si="4"/>
        <v>2601807</v>
      </c>
      <c r="AA16" s="1"/>
      <c r="AB16" s="1"/>
    </row>
    <row r="17" spans="1:28" x14ac:dyDescent="0.25">
      <c r="B17" s="32" t="str">
        <f t="shared" si="0"/>
        <v/>
      </c>
      <c r="C17" s="32"/>
      <c r="D17" s="32"/>
      <c r="E17" s="167"/>
      <c r="F17" s="167"/>
      <c r="G17" s="32"/>
      <c r="H17" s="32"/>
      <c r="I17" s="32"/>
      <c r="J17" s="32"/>
      <c r="K17" s="32"/>
      <c r="L17" s="32"/>
      <c r="M17" s="32"/>
      <c r="V17" s="1"/>
      <c r="W17" s="1"/>
      <c r="AA17" s="1"/>
      <c r="AB17" s="1"/>
    </row>
    <row r="18" spans="1:28" ht="13.8" thickBot="1" x14ac:dyDescent="0.3">
      <c r="B18" s="32" t="str">
        <f t="shared" si="0"/>
        <v/>
      </c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V18" s="1"/>
      <c r="W18" s="1"/>
      <c r="AA18" s="1"/>
      <c r="AB18" s="1"/>
    </row>
    <row r="19" spans="1:28" ht="13.8" thickBot="1" x14ac:dyDescent="0.3">
      <c r="A19" s="19" t="s">
        <v>25</v>
      </c>
      <c r="B19" s="20" t="s">
        <v>182</v>
      </c>
      <c r="C19" s="46" t="s">
        <v>183</v>
      </c>
      <c r="D19" s="79" t="s">
        <v>180</v>
      </c>
      <c r="E19" s="127">
        <v>45658</v>
      </c>
      <c r="F19" s="82">
        <v>45292</v>
      </c>
      <c r="G19" s="82">
        <v>44927</v>
      </c>
      <c r="H19" s="82">
        <v>44562</v>
      </c>
      <c r="I19" s="82">
        <v>44197</v>
      </c>
      <c r="J19" s="82">
        <v>43831</v>
      </c>
      <c r="K19" s="82">
        <v>43466</v>
      </c>
      <c r="L19" s="21">
        <v>43101</v>
      </c>
      <c r="M19" s="21">
        <v>42736</v>
      </c>
      <c r="N19" s="82">
        <f>N1</f>
        <v>42370</v>
      </c>
      <c r="O19" s="82">
        <f>O1</f>
        <v>42005</v>
      </c>
      <c r="P19" s="82">
        <v>41640</v>
      </c>
      <c r="Q19" s="82">
        <v>41275</v>
      </c>
      <c r="R19" s="82">
        <v>40909</v>
      </c>
      <c r="S19" s="82">
        <v>40544</v>
      </c>
      <c r="T19" s="82">
        <v>40179</v>
      </c>
      <c r="U19" s="82">
        <v>39814</v>
      </c>
      <c r="V19" s="21">
        <v>39448</v>
      </c>
      <c r="W19" s="22">
        <v>39083</v>
      </c>
      <c r="AA19" s="1"/>
      <c r="AB19" s="1"/>
    </row>
    <row r="20" spans="1:28" x14ac:dyDescent="0.25">
      <c r="A20" s="16" t="s">
        <v>0</v>
      </c>
      <c r="B20" s="23">
        <f t="shared" si="0"/>
        <v>-0.20950075933134094</v>
      </c>
      <c r="C20" s="47">
        <f>E20-'[1]EU - country'!E20</f>
        <v>-39446.874663671013</v>
      </c>
      <c r="D20" s="1">
        <f>F20-'[1]EU - country'!F20</f>
        <v>-79343.609940697555</v>
      </c>
      <c r="E20" s="109">
        <f>Belgium!E$20</f>
        <v>147838.98776563982</v>
      </c>
      <c r="F20" s="1">
        <f>Belgium!F$20</f>
        <v>187019.77201216202</v>
      </c>
      <c r="G20" s="1">
        <f>Belgium!G$20</f>
        <v>170456.38860320117</v>
      </c>
      <c r="H20" s="1">
        <f>Belgium!H$20</f>
        <v>197716</v>
      </c>
      <c r="I20" s="1">
        <f>Belgium!I$20</f>
        <v>237861</v>
      </c>
      <c r="J20" s="1">
        <f>Belgium!J$20</f>
        <v>174432</v>
      </c>
      <c r="K20" s="1">
        <f>Belgium!K$20</f>
        <v>230939</v>
      </c>
      <c r="L20" s="1">
        <f>Belgium!L$20</f>
        <v>164339</v>
      </c>
      <c r="M20" s="1">
        <f>Belgium!M$20</f>
        <v>185009</v>
      </c>
      <c r="N20" s="1">
        <f>Belgium!N$20</f>
        <v>230054</v>
      </c>
      <c r="O20" s="1">
        <f>Belgium!O$20</f>
        <v>206833</v>
      </c>
      <c r="P20" s="1">
        <f>Belgium!P$20</f>
        <v>166559</v>
      </c>
      <c r="Q20" s="1">
        <f>Belgium!Q$20</f>
        <v>111437</v>
      </c>
      <c r="R20" s="1">
        <f>Belgium!R$20</f>
        <v>147400</v>
      </c>
      <c r="S20" s="1">
        <f>Belgium!S$20</f>
        <v>124100</v>
      </c>
      <c r="T20" s="1">
        <v>118400</v>
      </c>
      <c r="U20" s="1">
        <v>52897</v>
      </c>
      <c r="V20" s="1">
        <v>113100</v>
      </c>
      <c r="W20" s="25">
        <v>128100</v>
      </c>
      <c r="AA20" s="1"/>
      <c r="AB20" s="1"/>
    </row>
    <row r="21" spans="1:28" x14ac:dyDescent="0.25">
      <c r="A21" s="16" t="s">
        <v>31</v>
      </c>
      <c r="B21" s="23">
        <f t="shared" si="0"/>
        <v>-0.41840435176790569</v>
      </c>
      <c r="C21" s="47">
        <f>E21-'[1]EU - country'!E21</f>
        <v>-564</v>
      </c>
      <c r="D21" s="1">
        <f>F21-'[1]EU - country'!F21</f>
        <v>-394</v>
      </c>
      <c r="E21" s="109">
        <f>'Czech Republic'!E$21</f>
        <v>1283</v>
      </c>
      <c r="F21" s="1">
        <f>'Czech Republic'!F$21</f>
        <v>2206</v>
      </c>
      <c r="G21" s="1">
        <f>'Czech Republic'!G$21</f>
        <v>1656</v>
      </c>
      <c r="H21" s="1">
        <f>'Czech Republic'!H$21</f>
        <v>1206</v>
      </c>
      <c r="I21" s="1">
        <f>'Czech Republic'!I$21</f>
        <v>3027</v>
      </c>
      <c r="J21" s="1">
        <f>'Czech Republic'!J$21</f>
        <v>2592</v>
      </c>
      <c r="K21" s="1">
        <f>'Czech Republic'!K$21</f>
        <v>1879</v>
      </c>
      <c r="L21" s="1">
        <f>'Czech Republic'!L$21</f>
        <v>1302</v>
      </c>
      <c r="M21" s="1">
        <f>'Czech Republic'!M$21</f>
        <v>1197</v>
      </c>
      <c r="N21" s="1">
        <f>'Czech Republic'!N$21</f>
        <v>4020</v>
      </c>
      <c r="O21" s="1">
        <f>'Czech Republic'!O$21</f>
        <v>540</v>
      </c>
      <c r="P21" s="1">
        <f>'Czech Republic'!P$21</f>
        <v>2287</v>
      </c>
      <c r="Q21" s="1">
        <f>'Czech Republic'!Q$21</f>
        <v>687</v>
      </c>
      <c r="R21" s="1">
        <f>'Czech Republic'!R$21</f>
        <v>494</v>
      </c>
      <c r="S21" s="1">
        <f>'Czech Republic'!S$21</f>
        <v>219</v>
      </c>
      <c r="T21" s="1">
        <v>103</v>
      </c>
      <c r="U21" s="1">
        <v>0</v>
      </c>
      <c r="V21" s="1">
        <v>23</v>
      </c>
      <c r="W21" s="25">
        <v>333</v>
      </c>
      <c r="AA21" s="1"/>
      <c r="AB21" s="1"/>
    </row>
    <row r="22" spans="1:28" x14ac:dyDescent="0.25">
      <c r="A22" s="165" t="s">
        <v>40</v>
      </c>
      <c r="B22" s="23">
        <f t="shared" si="0"/>
        <v>-1</v>
      </c>
      <c r="C22" s="47">
        <f>E22-'[1]EU - country'!E22</f>
        <v>-30</v>
      </c>
      <c r="D22" s="1">
        <f>F22-'[1]EU - country'!F22</f>
        <v>-34</v>
      </c>
      <c r="E22" s="109">
        <f>Denmark!E$27</f>
        <v>0</v>
      </c>
      <c r="F22" s="1">
        <f>Denmark!F$27</f>
        <v>2</v>
      </c>
      <c r="G22" s="1">
        <f>Denmark!G$27</f>
        <v>244</v>
      </c>
      <c r="H22" s="1">
        <f>Denmark!H$27</f>
        <v>38</v>
      </c>
      <c r="I22" s="1">
        <f>Denmark!I$27</f>
        <v>117</v>
      </c>
      <c r="J22" s="1">
        <f>Denmark!J$27</f>
        <v>131</v>
      </c>
      <c r="K22" s="1">
        <f>Denmark!K$27</f>
        <v>543</v>
      </c>
      <c r="L22" s="1">
        <f>Denmark!L$27</f>
        <v>0</v>
      </c>
      <c r="M22" s="1">
        <f>Denmark!M$27</f>
        <v>76</v>
      </c>
      <c r="N22" s="1">
        <f>Denmark!N$27</f>
        <v>338</v>
      </c>
      <c r="O22" s="1">
        <f>Denmark!O$27</f>
        <v>15</v>
      </c>
      <c r="P22" s="1">
        <f>Denmark!P$27</f>
        <v>657</v>
      </c>
      <c r="Q22" s="1">
        <f>Denmark!Q$27</f>
        <v>106</v>
      </c>
      <c r="R22" s="1">
        <f>Denmark!R$27</f>
        <v>254</v>
      </c>
      <c r="S22" s="1">
        <f>Denmark!S$27</f>
        <v>0</v>
      </c>
      <c r="T22" s="1">
        <v>0</v>
      </c>
      <c r="U22" s="1">
        <v>0</v>
      </c>
      <c r="V22" s="1">
        <v>30</v>
      </c>
      <c r="W22" s="25">
        <v>0</v>
      </c>
      <c r="Y22" s="3"/>
      <c r="AA22" s="1"/>
      <c r="AB22" s="1"/>
    </row>
    <row r="23" spans="1:28" ht="13.5" customHeight="1" x14ac:dyDescent="0.3">
      <c r="A23" s="37" t="s">
        <v>133</v>
      </c>
      <c r="B23" s="23">
        <f t="shared" si="0"/>
        <v>0.61287342161995695</v>
      </c>
      <c r="C23" s="47">
        <f>E23-'[1]EU - country'!E23</f>
        <v>-7468</v>
      </c>
      <c r="D23" s="1">
        <f>F23-'[1]EU - country'!F23</f>
        <v>-4262</v>
      </c>
      <c r="E23" s="109">
        <f>France!E38</f>
        <v>15711</v>
      </c>
      <c r="F23" s="1">
        <f>France!F38</f>
        <v>9741</v>
      </c>
      <c r="G23" s="1">
        <f>France!G38</f>
        <v>7722</v>
      </c>
      <c r="H23" s="1">
        <f>France!H$38</f>
        <v>5309</v>
      </c>
      <c r="I23" s="1">
        <f>France!I$38</f>
        <v>12229</v>
      </c>
      <c r="J23" s="1">
        <f>France!J$38</f>
        <v>8720</v>
      </c>
      <c r="K23" s="1">
        <f>France!K$38</f>
        <v>10230</v>
      </c>
      <c r="L23" s="1">
        <f>France!L$38</f>
        <v>8931</v>
      </c>
      <c r="M23" s="1">
        <f>France!M$38</f>
        <v>8545</v>
      </c>
      <c r="N23" s="1">
        <f>France!N$38</f>
        <v>7177</v>
      </c>
      <c r="O23" s="1">
        <f>France!O$38</f>
        <v>8283</v>
      </c>
      <c r="P23" s="1">
        <f>France!P$38</f>
        <v>10497</v>
      </c>
      <c r="Q23" s="1">
        <f>France!Q$38</f>
        <v>4645</v>
      </c>
      <c r="R23" s="1">
        <f>France!R$38</f>
        <v>8177</v>
      </c>
      <c r="S23" s="1">
        <f>France!S$38</f>
        <v>0</v>
      </c>
      <c r="T23" s="1">
        <v>8809</v>
      </c>
      <c r="U23" s="1">
        <v>4093</v>
      </c>
      <c r="V23" s="110"/>
      <c r="W23" s="111"/>
      <c r="AA23" s="1"/>
      <c r="AB23" s="1"/>
    </row>
    <row r="24" spans="1:28" x14ac:dyDescent="0.25">
      <c r="A24" s="165" t="s">
        <v>28</v>
      </c>
      <c r="B24" s="23">
        <f t="shared" si="0"/>
        <v>-7.6636288318144175E-2</v>
      </c>
      <c r="C24" s="47">
        <f>E24-'[1]EU - country'!E24</f>
        <v>-3526</v>
      </c>
      <c r="D24" s="1">
        <f>F24-'[1]EU - country'!F24</f>
        <v>-1655</v>
      </c>
      <c r="E24" s="109">
        <f>Germany!E$26</f>
        <v>4458</v>
      </c>
      <c r="F24" s="1">
        <f>Germany!F$26</f>
        <v>4828</v>
      </c>
      <c r="G24" s="1">
        <f>Germany!G$26</f>
        <v>3225</v>
      </c>
      <c r="H24" s="1">
        <f>Germany!H$26</f>
        <v>4078</v>
      </c>
      <c r="I24" s="1">
        <f>Germany!I$26</f>
        <v>3148</v>
      </c>
      <c r="J24" s="1">
        <f>Germany!J$26</f>
        <v>3644</v>
      </c>
      <c r="K24" s="1">
        <f>Germany!K$26</f>
        <v>3950</v>
      </c>
      <c r="L24" s="1">
        <f>Germany!L$26</f>
        <v>2483</v>
      </c>
      <c r="M24" s="35">
        <f>Germany!M$26</f>
        <v>1744</v>
      </c>
      <c r="N24" s="1">
        <f>Germany!N$26</f>
        <v>3912</v>
      </c>
      <c r="O24" s="1">
        <f>Germany!O$26</f>
        <v>2382</v>
      </c>
      <c r="P24" s="1">
        <f>Germany!P$26</f>
        <v>3393</v>
      </c>
      <c r="Q24" s="1">
        <f>Germany!Q$26</f>
        <v>785</v>
      </c>
      <c r="R24" s="1">
        <f>Germany!R$26</f>
        <v>3009</v>
      </c>
      <c r="S24" s="1">
        <f>Germany!S$26</f>
        <v>1969</v>
      </c>
      <c r="T24" s="1">
        <v>2747</v>
      </c>
      <c r="U24" s="1">
        <v>914</v>
      </c>
      <c r="V24" s="1">
        <v>1174</v>
      </c>
      <c r="W24" s="25">
        <v>1021</v>
      </c>
      <c r="Y24" s="3"/>
      <c r="AA24" s="1"/>
      <c r="AB24" s="1"/>
    </row>
    <row r="25" spans="1:28" x14ac:dyDescent="0.25">
      <c r="A25" s="37" t="s">
        <v>16</v>
      </c>
      <c r="B25" s="23">
        <f t="shared" si="0"/>
        <v>3.1494111454520981</v>
      </c>
      <c r="C25" s="47">
        <f>E25-'[1]EU - country'!E25</f>
        <v>-23937.80709554335</v>
      </c>
      <c r="D25" s="1">
        <f>F25-'[1]EU - country'!F25</f>
        <v>-9248.4248554881742</v>
      </c>
      <c r="E25" s="109">
        <f>Italy!E$29</f>
        <v>96252.442217382864</v>
      </c>
      <c r="F25" s="1">
        <f>Italy!F$29</f>
        <v>23196.651005017651</v>
      </c>
      <c r="G25" s="1">
        <f>Italy!G$29</f>
        <v>123825.93188803758</v>
      </c>
      <c r="H25" s="1">
        <f>Italy!H$29</f>
        <v>0</v>
      </c>
      <c r="I25" s="1">
        <f>Italy!I$29</f>
        <v>0</v>
      </c>
      <c r="J25" s="1">
        <f>Italy!J$29</f>
        <v>0</v>
      </c>
      <c r="K25" s="1">
        <f>Italy!K$29</f>
        <v>0</v>
      </c>
      <c r="L25" s="1">
        <f>Italy!L$29</f>
        <v>0</v>
      </c>
      <c r="M25" s="1">
        <f>Italy!M$29</f>
        <v>0</v>
      </c>
      <c r="N25" s="1">
        <f>Italy!N$29</f>
        <v>0</v>
      </c>
      <c r="O25" s="1">
        <f>Italy!O$29</f>
        <v>0</v>
      </c>
      <c r="P25" s="1">
        <f>Italy!P$29</f>
        <v>0</v>
      </c>
      <c r="Q25" s="1">
        <f>Italy!Q$29</f>
        <v>0</v>
      </c>
      <c r="R25" s="1">
        <f>Italy!R$29</f>
        <v>0</v>
      </c>
      <c r="S25" s="1">
        <f>Italy!S$29</f>
        <v>0</v>
      </c>
      <c r="T25" s="1"/>
      <c r="U25" s="1"/>
      <c r="V25" s="1"/>
      <c r="W25" s="25"/>
      <c r="Y25" s="3"/>
      <c r="AA25" s="1"/>
      <c r="AB25" s="1"/>
    </row>
    <row r="26" spans="1:28" x14ac:dyDescent="0.25">
      <c r="A26" s="37" t="s">
        <v>32</v>
      </c>
      <c r="B26" s="23">
        <f t="shared" si="0"/>
        <v>0.32352941176470584</v>
      </c>
      <c r="C26" s="47">
        <f>E26-'[1]EU - country'!E26</f>
        <v>-11000</v>
      </c>
      <c r="D26" s="1">
        <f>F26-'[1]EU - country'!F26</f>
        <v>-6000</v>
      </c>
      <c r="E26" s="109">
        <f>Poland!E$25</f>
        <v>45000</v>
      </c>
      <c r="F26" s="1">
        <f>Poland!F$25</f>
        <v>34000</v>
      </c>
      <c r="G26" s="1">
        <f>Poland!G$25</f>
        <v>41500</v>
      </c>
      <c r="H26" s="1">
        <f>Poland!H$25</f>
        <v>25500</v>
      </c>
      <c r="I26" s="1">
        <f>Poland!I$25</f>
        <v>26000</v>
      </c>
      <c r="J26" s="1">
        <f>Poland!J$25</f>
        <v>7000</v>
      </c>
      <c r="K26" s="1">
        <f>Poland!K$25</f>
        <v>23000</v>
      </c>
      <c r="L26" s="1">
        <f>Poland!L$25</f>
        <v>6000</v>
      </c>
      <c r="M26" s="35">
        <f>Poland!M$25</f>
        <v>7000</v>
      </c>
      <c r="N26" s="35">
        <f>Poland!N$25</f>
        <v>11500</v>
      </c>
      <c r="O26" s="35">
        <f>Poland!O$25</f>
        <v>4000</v>
      </c>
      <c r="P26" s="35">
        <f>Poland!P$25</f>
        <v>24000</v>
      </c>
      <c r="Q26" s="35">
        <f>Poland!Q$25</f>
        <v>7000</v>
      </c>
      <c r="R26" s="35">
        <f>Poland!R$25</f>
        <v>19000</v>
      </c>
      <c r="S26" s="35">
        <f>Poland!S$25</f>
        <v>15000</v>
      </c>
      <c r="T26" s="35">
        <v>35000</v>
      </c>
      <c r="U26" s="35">
        <v>22000</v>
      </c>
      <c r="V26" s="35">
        <v>10000</v>
      </c>
      <c r="W26" s="65">
        <v>26000</v>
      </c>
      <c r="Y26" s="3"/>
      <c r="AA26" s="1"/>
      <c r="AB26" s="1"/>
    </row>
    <row r="27" spans="1:28" x14ac:dyDescent="0.25">
      <c r="A27" s="37" t="s">
        <v>152</v>
      </c>
      <c r="B27" s="23">
        <f t="shared" si="0"/>
        <v>0.19713365353085277</v>
      </c>
      <c r="C27" s="47">
        <f>E27-'[2]EU - country'!C27</f>
        <v>-21500</v>
      </c>
      <c r="D27" s="1">
        <f>F27-'[2]EU - country'!D27</f>
        <v>-25042</v>
      </c>
      <c r="E27" s="109">
        <f>Portugal!E$14</f>
        <v>62063</v>
      </c>
      <c r="F27" s="1">
        <f>Portugal!F$14</f>
        <v>51843</v>
      </c>
      <c r="G27" s="1">
        <f>Portugal!G$14</f>
        <v>55279.964223139912</v>
      </c>
      <c r="H27" s="1">
        <f>Portugal!H$14</f>
        <v>127647</v>
      </c>
      <c r="I27" s="1">
        <f>Portugal!I$14</f>
        <v>52487</v>
      </c>
      <c r="J27" s="1">
        <f>Portugal!J$14</f>
        <v>86608</v>
      </c>
      <c r="K27" s="1">
        <f>Portugal!K$14</f>
        <v>75996</v>
      </c>
      <c r="L27" s="1">
        <f>Portugal!L$14</f>
        <v>71475</v>
      </c>
      <c r="M27" s="35">
        <f>Portugal!M$14</f>
        <v>59851</v>
      </c>
      <c r="N27" s="35">
        <f>Portugal!N$14</f>
        <v>47466</v>
      </c>
      <c r="O27" s="35">
        <f>Portugal!O$14</f>
        <v>80378</v>
      </c>
      <c r="P27" s="35">
        <f>Portugal!P$14</f>
        <v>83498</v>
      </c>
      <c r="Q27" s="35">
        <f>Portugal!Q$14</f>
        <v>31792</v>
      </c>
      <c r="R27" s="35">
        <f>Portugal!R$14</f>
        <v>70946</v>
      </c>
      <c r="S27" s="35">
        <f>Portugal!S$14</f>
        <v>44175</v>
      </c>
      <c r="T27" s="35"/>
      <c r="U27" s="35"/>
      <c r="V27" s="35"/>
      <c r="W27" s="65"/>
      <c r="Y27" s="3"/>
      <c r="AA27" s="1"/>
      <c r="AB27" s="1"/>
    </row>
    <row r="28" spans="1:28" hidden="1" x14ac:dyDescent="0.25">
      <c r="A28" s="37" t="s">
        <v>175</v>
      </c>
      <c r="B28" s="23" t="str">
        <f t="shared" si="0"/>
        <v/>
      </c>
      <c r="C28" s="47">
        <f>E28-'[1]EU - country'!E28</f>
        <v>0</v>
      </c>
      <c r="D28" s="1">
        <f>F28-'[1]EU - country'!F28</f>
        <v>0</v>
      </c>
      <c r="E28" s="109">
        <f>Slovakia!C18</f>
        <v>0</v>
      </c>
      <c r="F28" s="1">
        <f>Slovakia!D18</f>
        <v>0</v>
      </c>
      <c r="G28" s="1">
        <f>Slovakia!F18</f>
        <v>0</v>
      </c>
      <c r="H28" s="1">
        <f>Slovakia!G18</f>
        <v>5.0599999999999996</v>
      </c>
      <c r="I28" s="1"/>
      <c r="J28" s="1"/>
      <c r="K28" s="1"/>
      <c r="L28" s="1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65"/>
      <c r="Y28" s="3"/>
      <c r="AA28" s="1"/>
      <c r="AB28" s="1"/>
    </row>
    <row r="29" spans="1:28" x14ac:dyDescent="0.25">
      <c r="A29" s="165" t="s">
        <v>37</v>
      </c>
      <c r="B29" s="23">
        <f t="shared" si="0"/>
        <v>-0.41843146673424136</v>
      </c>
      <c r="C29" s="47">
        <f>E29-'[1]EU - country'!E29</f>
        <v>-6988.2377399703983</v>
      </c>
      <c r="D29" s="1">
        <f>F29-'[1]EU - country'!F29</f>
        <v>-6926.2018365480762</v>
      </c>
      <c r="E29" s="109">
        <f>Spain!E$17</f>
        <v>28423.212763134143</v>
      </c>
      <c r="F29" s="1">
        <f>Spain!F$17</f>
        <v>48873.367689832739</v>
      </c>
      <c r="G29" s="1">
        <f>Spain!G$17</f>
        <v>41410.720207424034</v>
      </c>
      <c r="H29" s="1">
        <f>Spain!H$17</f>
        <v>55961.875338831989</v>
      </c>
      <c r="I29" s="1">
        <f>Spain!I$17</f>
        <v>59867.15981193546</v>
      </c>
      <c r="J29" s="1">
        <f>Spain!J$17</f>
        <v>67803.198053074491</v>
      </c>
      <c r="K29" s="1">
        <f>Spain!K$17</f>
        <v>66087.917111272152</v>
      </c>
      <c r="L29" s="1">
        <f>Spain!L$17</f>
        <v>75125</v>
      </c>
      <c r="M29" s="1">
        <f>Spain!M$17</f>
        <v>65822.271026512652</v>
      </c>
      <c r="N29" s="1">
        <f>Spain!N$17</f>
        <v>62151.48895873579</v>
      </c>
      <c r="O29" s="1">
        <f>Spain!O$17</f>
        <v>77556</v>
      </c>
      <c r="P29" s="1">
        <f>Spain!P$17</f>
        <v>96749.715498027814</v>
      </c>
      <c r="Q29" s="1">
        <f>Spain!Q$17</f>
        <v>56022.621173460073</v>
      </c>
      <c r="R29" s="1">
        <f>Spain!R$17</f>
        <v>109648</v>
      </c>
      <c r="S29" s="1">
        <f>Spain!S$17</f>
        <v>113785</v>
      </c>
      <c r="T29" s="1">
        <v>81111</v>
      </c>
      <c r="U29" s="1">
        <v>90503</v>
      </c>
      <c r="V29" s="1">
        <v>88096</v>
      </c>
      <c r="W29" s="25">
        <v>104479</v>
      </c>
      <c r="Y29" s="3"/>
      <c r="AA29" s="1"/>
      <c r="AB29" s="1"/>
    </row>
    <row r="30" spans="1:28" x14ac:dyDescent="0.25">
      <c r="A30" s="165" t="s">
        <v>60</v>
      </c>
      <c r="B30" s="23">
        <f t="shared" si="0"/>
        <v>0.94090202177293936</v>
      </c>
      <c r="C30" s="47">
        <f>E30-'[1]EU - country'!E30</f>
        <v>-2140</v>
      </c>
      <c r="D30" s="1">
        <f>F30-'[1]EU - country'!F30</f>
        <v>-1480</v>
      </c>
      <c r="E30" s="109">
        <f>Switzerland!E$28</f>
        <v>8736</v>
      </c>
      <c r="F30" s="1">
        <f>Switzerland!F$28</f>
        <v>4501</v>
      </c>
      <c r="G30" s="1">
        <f>Switzerland!G$28</f>
        <v>6941</v>
      </c>
      <c r="H30" s="1">
        <f>Switzerland!H$28</f>
        <v>5314</v>
      </c>
      <c r="I30" s="1">
        <f>Switzerland!I$28</f>
        <v>7749</v>
      </c>
      <c r="J30" s="1">
        <f>Switzerland!J$28</f>
        <v>8967</v>
      </c>
      <c r="K30" s="1">
        <f>Switzerland!K$28</f>
        <v>8243</v>
      </c>
      <c r="L30" s="1">
        <f>Switzerland!L$28</f>
        <v>778</v>
      </c>
      <c r="M30" s="1">
        <f>Switzerland!M$28</f>
        <v>5573</v>
      </c>
      <c r="N30" s="1">
        <f>Switzerland!N$28</f>
        <v>5834</v>
      </c>
      <c r="O30" s="1">
        <f>Switzerland!O$28</f>
        <v>7301</v>
      </c>
      <c r="P30" s="1">
        <f>Switzerland!P$28</f>
        <v>6151</v>
      </c>
      <c r="Q30" s="1">
        <f>Switzerland!Q$28</f>
        <v>4063</v>
      </c>
      <c r="R30" s="1">
        <f>Switzerland!R$28</f>
        <v>9446</v>
      </c>
      <c r="S30" s="1">
        <f>Switzerland!S$28</f>
        <v>3466</v>
      </c>
      <c r="T30" s="1">
        <v>9150</v>
      </c>
      <c r="U30" s="1">
        <v>1702</v>
      </c>
      <c r="V30" s="1">
        <v>9708</v>
      </c>
      <c r="W30" s="25">
        <v>4801</v>
      </c>
      <c r="Y30" s="3"/>
      <c r="AA30" s="1"/>
      <c r="AB30" s="1"/>
    </row>
    <row r="31" spans="1:28" x14ac:dyDescent="0.25">
      <c r="A31" s="165" t="s">
        <v>1</v>
      </c>
      <c r="B31" s="23">
        <f t="shared" si="0"/>
        <v>-8.7915599498252006E-2</v>
      </c>
      <c r="C31" s="47">
        <f>E31-'[1]EU - country'!E31</f>
        <v>-27703</v>
      </c>
      <c r="D31" s="1">
        <f>F31-'[1]EU - country'!F31</f>
        <v>-28141</v>
      </c>
      <c r="E31" s="109">
        <f>Netherlands!E$15</f>
        <v>191234</v>
      </c>
      <c r="F31" s="1">
        <f>Netherlands!F$15</f>
        <v>209667</v>
      </c>
      <c r="G31" s="1">
        <f>Netherlands!G$15</f>
        <v>204206</v>
      </c>
      <c r="H31" s="1">
        <f>Netherlands!H$15</f>
        <v>193300</v>
      </c>
      <c r="I31" s="1">
        <f>Netherlands!I$15</f>
        <v>224242.50000000003</v>
      </c>
      <c r="J31" s="1">
        <f>Netherlands!J$15</f>
        <v>200000</v>
      </c>
      <c r="K31" s="1">
        <f>Netherlands!K$15</f>
        <v>221860</v>
      </c>
      <c r="L31" s="1">
        <f>Netherlands!L$15</f>
        <v>183920</v>
      </c>
      <c r="M31" s="1">
        <f>Netherlands!M$15</f>
        <v>208256</v>
      </c>
      <c r="N31" s="1">
        <f>Netherlands!N$15</f>
        <v>201869</v>
      </c>
      <c r="O31" s="1">
        <f>Netherlands!O$15</f>
        <v>193961</v>
      </c>
      <c r="P31" s="1">
        <f>Netherlands!P$15</f>
        <v>194245</v>
      </c>
      <c r="Q31" s="1">
        <f>Netherlands!Q$15</f>
        <v>102000</v>
      </c>
      <c r="R31" s="1">
        <f>Netherlands!R$15</f>
        <v>163000</v>
      </c>
      <c r="S31" s="1">
        <f>Netherlands!S$15</f>
        <v>130000</v>
      </c>
      <c r="T31" s="1">
        <v>154000</v>
      </c>
      <c r="U31" s="1">
        <v>72000</v>
      </c>
      <c r="V31" s="1">
        <v>107000</v>
      </c>
      <c r="W31" s="25">
        <v>100000</v>
      </c>
      <c r="AA31" s="1"/>
      <c r="AB31" s="1"/>
    </row>
    <row r="32" spans="1:28" ht="13.8" thickBot="1" x14ac:dyDescent="0.3">
      <c r="A32" s="166" t="s">
        <v>181</v>
      </c>
      <c r="B32" s="24">
        <f t="shared" si="0"/>
        <v>0.1244596810254881</v>
      </c>
      <c r="C32" s="48">
        <f>E32-'[1]EU - country'!E32</f>
        <v>-1744</v>
      </c>
      <c r="D32" s="9"/>
      <c r="E32" s="126">
        <f>UK!E19</f>
        <v>7544</v>
      </c>
      <c r="F32" s="9">
        <f>UK!F19</f>
        <v>6709</v>
      </c>
      <c r="G32" s="9">
        <f>UK!G19</f>
        <v>6694</v>
      </c>
      <c r="H32" s="9">
        <f>UK!H$19</f>
        <v>6526</v>
      </c>
      <c r="I32" s="9">
        <f>UK!I$19</f>
        <v>6441</v>
      </c>
      <c r="J32" s="9">
        <f>UK!J$19</f>
        <v>5480</v>
      </c>
      <c r="K32" s="9">
        <f>UK!K$19</f>
        <v>8144</v>
      </c>
      <c r="L32" s="9">
        <f>UK!L$19</f>
        <v>8075</v>
      </c>
      <c r="M32" s="9">
        <f>UK!M$19</f>
        <v>9430</v>
      </c>
      <c r="N32" s="9">
        <f>UK!N$19</f>
        <v>12100</v>
      </c>
      <c r="O32" s="9">
        <f>UK!O$19</f>
        <v>9000</v>
      </c>
      <c r="P32" s="9">
        <f>UK!P$19</f>
        <v>13500</v>
      </c>
      <c r="Q32" s="9">
        <f>UK!Q$19</f>
        <v>9000</v>
      </c>
      <c r="R32" s="9">
        <f>UK!R$19</f>
        <v>11000</v>
      </c>
      <c r="S32" s="9">
        <f>UK!S$19</f>
        <v>11000</v>
      </c>
      <c r="T32" s="9">
        <v>14900</v>
      </c>
      <c r="U32" s="9">
        <v>9500</v>
      </c>
      <c r="V32" s="9">
        <v>10500</v>
      </c>
      <c r="W32" s="27">
        <v>8000</v>
      </c>
      <c r="Y32" s="3"/>
      <c r="AA32" s="1"/>
      <c r="AB32" s="1"/>
    </row>
    <row r="33" spans="1:28" ht="13.8" thickBot="1" x14ac:dyDescent="0.3">
      <c r="A33" s="28" t="s">
        <v>23</v>
      </c>
      <c r="B33" s="29">
        <f t="shared" si="0"/>
        <v>4.4554480899994031E-2</v>
      </c>
      <c r="C33" s="49">
        <f>E33-'[1]EU - country'!E33</f>
        <v>-62484.91949918482</v>
      </c>
      <c r="D33" s="30">
        <f>F33-'[1]EU - country'!F33</f>
        <v>-78932.236632733839</v>
      </c>
      <c r="E33" s="102">
        <f t="shared" ref="E33" si="5">SUM(E20:E32)</f>
        <v>608543.64274615678</v>
      </c>
      <c r="F33" s="30">
        <f t="shared" ref="F33:K33" si="6">SUM(F20:F32)</f>
        <v>582586.79070701241</v>
      </c>
      <c r="G33" s="30">
        <f t="shared" si="6"/>
        <v>663161.00492180267</v>
      </c>
      <c r="H33" s="30">
        <f t="shared" si="6"/>
        <v>622600.93533883197</v>
      </c>
      <c r="I33" s="30">
        <f t="shared" si="6"/>
        <v>633168.6598119355</v>
      </c>
      <c r="J33" s="30">
        <f t="shared" si="6"/>
        <v>565377.19805307453</v>
      </c>
      <c r="K33" s="30">
        <f t="shared" si="6"/>
        <v>650871.91711127223</v>
      </c>
      <c r="L33" s="30">
        <f t="shared" ref="L33:Q33" si="7">SUM(L20:L32)</f>
        <v>522428</v>
      </c>
      <c r="M33" s="30">
        <f t="shared" si="7"/>
        <v>552503.27102651261</v>
      </c>
      <c r="N33" s="30">
        <f t="shared" si="7"/>
        <v>586421.48895873572</v>
      </c>
      <c r="O33" s="30">
        <f t="shared" si="7"/>
        <v>590249</v>
      </c>
      <c r="P33" s="30">
        <f t="shared" si="7"/>
        <v>601536.71549802786</v>
      </c>
      <c r="Q33" s="30">
        <f t="shared" si="7"/>
        <v>327537.62117346004</v>
      </c>
      <c r="R33" s="30">
        <f t="shared" ref="R33:W33" si="8">SUM(R20:R32)</f>
        <v>542374</v>
      </c>
      <c r="S33" s="30">
        <f t="shared" si="8"/>
        <v>443714</v>
      </c>
      <c r="T33" s="30">
        <f t="shared" si="8"/>
        <v>424220</v>
      </c>
      <c r="U33" s="30">
        <f t="shared" si="8"/>
        <v>253609</v>
      </c>
      <c r="V33" s="30">
        <f t="shared" si="8"/>
        <v>339631</v>
      </c>
      <c r="W33" s="31">
        <f t="shared" si="8"/>
        <v>372734</v>
      </c>
      <c r="AA33" s="1"/>
      <c r="AB33" s="1"/>
    </row>
    <row r="34" spans="1:28" x14ac:dyDescent="0.25">
      <c r="A34" s="3" t="s">
        <v>167</v>
      </c>
      <c r="B34" t="str">
        <f t="shared" si="0"/>
        <v/>
      </c>
      <c r="E34" s="1"/>
      <c r="F34" s="1"/>
      <c r="W34" s="1"/>
      <c r="AA34" s="1"/>
      <c r="AB34" s="1"/>
    </row>
    <row r="35" spans="1:28" x14ac:dyDescent="0.25">
      <c r="A35" s="3" t="s">
        <v>170</v>
      </c>
      <c r="B35" t="str">
        <f t="shared" si="0"/>
        <v/>
      </c>
      <c r="W35" s="1"/>
      <c r="AA35" s="1"/>
      <c r="AB35" s="1"/>
    </row>
    <row r="36" spans="1:28" x14ac:dyDescent="0.25">
      <c r="A36" s="50" t="s">
        <v>178</v>
      </c>
      <c r="B36" t="str">
        <f t="shared" si="0"/>
        <v/>
      </c>
      <c r="V36" s="1"/>
      <c r="W36" s="1"/>
      <c r="AA36" s="1"/>
      <c r="AB36" s="1"/>
    </row>
    <row r="37" spans="1:28" x14ac:dyDescent="0.25">
      <c r="B37" t="str">
        <f t="shared" si="0"/>
        <v/>
      </c>
      <c r="D37" s="1"/>
      <c r="V37" s="1"/>
      <c r="W37" s="1"/>
      <c r="AA37" s="1"/>
      <c r="AB37" s="1"/>
    </row>
    <row r="38" spans="1:28" x14ac:dyDescent="0.25">
      <c r="B38" t="str">
        <f t="shared" si="0"/>
        <v/>
      </c>
      <c r="C38" s="1"/>
      <c r="D38" s="1"/>
      <c r="V38" s="1"/>
      <c r="W38" s="1"/>
      <c r="AA38" s="1"/>
      <c r="AB38" s="1"/>
    </row>
    <row r="39" spans="1:28" x14ac:dyDescent="0.25">
      <c r="B39" t="str">
        <f t="shared" si="0"/>
        <v/>
      </c>
      <c r="E39" s="1"/>
      <c r="F39" s="1"/>
      <c r="G39" s="1"/>
      <c r="V39" s="1"/>
      <c r="W39" s="1"/>
      <c r="AA39" s="1"/>
      <c r="AB39" s="1"/>
    </row>
    <row r="40" spans="1:28" x14ac:dyDescent="0.25">
      <c r="B40" t="str">
        <f t="shared" si="0"/>
        <v/>
      </c>
      <c r="E40" s="1"/>
      <c r="V40" s="1"/>
      <c r="W40" s="1"/>
      <c r="AA40" s="1"/>
      <c r="AB40" s="1"/>
    </row>
    <row r="41" spans="1:28" x14ac:dyDescent="0.25">
      <c r="B41" t="str">
        <f t="shared" si="0"/>
        <v/>
      </c>
      <c r="V41" s="1"/>
      <c r="W41" s="1"/>
      <c r="AA41" s="1"/>
      <c r="AB41" s="1"/>
    </row>
    <row r="42" spans="1:28" x14ac:dyDescent="0.25">
      <c r="B42" t="str">
        <f t="shared" si="0"/>
        <v/>
      </c>
      <c r="V42" s="1"/>
      <c r="W42" s="1"/>
      <c r="AA42" s="1"/>
      <c r="AB42" s="1"/>
    </row>
    <row r="43" spans="1:28" x14ac:dyDescent="0.25">
      <c r="B43" t="str">
        <f t="shared" si="0"/>
        <v/>
      </c>
      <c r="V43" s="1"/>
      <c r="W43" s="1"/>
      <c r="AA43" s="1"/>
      <c r="AB43" s="1"/>
    </row>
    <row r="44" spans="1:28" x14ac:dyDescent="0.25">
      <c r="B44" t="str">
        <f t="shared" si="0"/>
        <v/>
      </c>
      <c r="V44" s="1"/>
      <c r="W44" s="1"/>
      <c r="AA44" s="1"/>
      <c r="AB44" s="1"/>
    </row>
    <row r="45" spans="1:28" x14ac:dyDescent="0.25">
      <c r="B45" t="str">
        <f t="shared" si="0"/>
        <v/>
      </c>
      <c r="V45" s="1"/>
      <c r="W45" s="1"/>
      <c r="AA45" s="1"/>
      <c r="AB45" s="1"/>
    </row>
    <row r="46" spans="1:28" x14ac:dyDescent="0.25">
      <c r="B46" t="str">
        <f t="shared" si="0"/>
        <v/>
      </c>
      <c r="V46" s="1"/>
      <c r="W46" s="1"/>
      <c r="AA46" s="1"/>
      <c r="AB46" s="1"/>
    </row>
    <row r="47" spans="1:28" x14ac:dyDescent="0.25">
      <c r="B47" t="str">
        <f t="shared" si="0"/>
        <v/>
      </c>
      <c r="V47" s="1"/>
      <c r="W47" s="1"/>
      <c r="AA47" s="1"/>
      <c r="AB47" s="1"/>
    </row>
    <row r="48" spans="1:28" x14ac:dyDescent="0.25">
      <c r="B48" t="str">
        <f t="shared" si="0"/>
        <v/>
      </c>
      <c r="V48" s="1"/>
      <c r="W48" s="1"/>
      <c r="AA48" s="1"/>
      <c r="AB48" s="1"/>
    </row>
    <row r="49" spans="1:28" x14ac:dyDescent="0.25">
      <c r="B49" t="str">
        <f t="shared" si="0"/>
        <v/>
      </c>
      <c r="V49" s="1"/>
      <c r="W49" s="1"/>
      <c r="AA49" s="1"/>
      <c r="AB49" s="1"/>
    </row>
    <row r="50" spans="1:28" x14ac:dyDescent="0.25">
      <c r="B50" t="str">
        <f t="shared" si="0"/>
        <v/>
      </c>
      <c r="V50" s="1"/>
      <c r="W50" s="1"/>
      <c r="AA50" s="1"/>
      <c r="AB50" s="1"/>
    </row>
    <row r="51" spans="1:28" x14ac:dyDescent="0.25">
      <c r="V51" s="1"/>
      <c r="W51" s="1"/>
      <c r="AA51" s="1"/>
      <c r="AB51" s="1"/>
    </row>
    <row r="52" spans="1:28" x14ac:dyDescent="0.25">
      <c r="A52" s="72"/>
    </row>
    <row r="53" spans="1:28" x14ac:dyDescent="0.25">
      <c r="V53" s="12"/>
      <c r="W53" s="12"/>
      <c r="X53" s="1"/>
    </row>
    <row r="54" spans="1:28" x14ac:dyDescent="0.25">
      <c r="V54" s="12"/>
      <c r="W54" s="12"/>
      <c r="X54" s="1"/>
    </row>
    <row r="55" spans="1:28" x14ac:dyDescent="0.25">
      <c r="V55" s="12"/>
      <c r="W55" s="12"/>
      <c r="X55" s="1"/>
    </row>
    <row r="56" spans="1:28" x14ac:dyDescent="0.25">
      <c r="V56" s="12"/>
      <c r="W56" s="12"/>
      <c r="X56" s="1"/>
    </row>
    <row r="57" spans="1:28" x14ac:dyDescent="0.25">
      <c r="V57" s="12"/>
      <c r="W57" s="12"/>
      <c r="X57" s="1"/>
    </row>
    <row r="58" spans="1:28" x14ac:dyDescent="0.25">
      <c r="V58" s="12"/>
      <c r="W58" s="12"/>
      <c r="X58" s="1"/>
    </row>
    <row r="59" spans="1:28" x14ac:dyDescent="0.25">
      <c r="V59" s="12"/>
      <c r="W59" s="12"/>
      <c r="X59" s="1"/>
    </row>
    <row r="60" spans="1:28" x14ac:dyDescent="0.25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2"/>
      <c r="W60" s="12"/>
      <c r="X60" s="1"/>
    </row>
    <row r="61" spans="1:28" x14ac:dyDescent="0.25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2"/>
      <c r="W61" s="12"/>
      <c r="X61" s="1"/>
    </row>
    <row r="62" spans="1:28" x14ac:dyDescent="0.25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2"/>
      <c r="W62" s="12"/>
      <c r="X62" s="1"/>
    </row>
    <row r="63" spans="1:28" x14ac:dyDescent="0.25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2"/>
      <c r="W63" s="12"/>
      <c r="X63" s="1"/>
    </row>
    <row r="64" spans="1:28" x14ac:dyDescent="0.25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2"/>
      <c r="W64" s="12"/>
      <c r="X64" s="1"/>
    </row>
    <row r="65" spans="1:24" x14ac:dyDescent="0.25">
      <c r="A65" s="14"/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2"/>
      <c r="W65" s="12"/>
      <c r="X65" s="1"/>
    </row>
    <row r="66" spans="1:24" x14ac:dyDescent="0.25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2"/>
      <c r="W66" s="12"/>
      <c r="X66" s="1"/>
    </row>
    <row r="67" spans="1:24" x14ac:dyDescent="0.25">
      <c r="V67" s="12"/>
      <c r="W67" s="12"/>
      <c r="X67" s="1"/>
    </row>
    <row r="68" spans="1:24" x14ac:dyDescent="0.25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2"/>
      <c r="W68" s="12"/>
      <c r="X68" s="2"/>
    </row>
    <row r="69" spans="1:24" x14ac:dyDescent="0.25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2"/>
      <c r="W69" s="12"/>
    </row>
    <row r="70" spans="1:24" x14ac:dyDescent="0.25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2"/>
      <c r="W70" s="12"/>
      <c r="X70" s="1"/>
    </row>
    <row r="71" spans="1:24" x14ac:dyDescent="0.25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2"/>
      <c r="W71" s="12"/>
      <c r="X71" s="1"/>
    </row>
    <row r="72" spans="1:24" x14ac:dyDescent="0.25">
      <c r="A72" s="14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2"/>
      <c r="W72" s="12"/>
      <c r="X72" s="1"/>
    </row>
    <row r="73" spans="1:24" x14ac:dyDescent="0.25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2"/>
      <c r="W73" s="12"/>
      <c r="X73" s="1"/>
    </row>
    <row r="74" spans="1:24" x14ac:dyDescent="0.25">
      <c r="A74" s="14"/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2"/>
      <c r="W74" s="12"/>
      <c r="X74" s="1"/>
    </row>
    <row r="75" spans="1:24" x14ac:dyDescent="0.25">
      <c r="A75" s="14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2"/>
      <c r="W75" s="12"/>
      <c r="X75" s="2"/>
    </row>
    <row r="76" spans="1:24" ht="26.25" customHeight="1" x14ac:dyDescent="0.25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3"/>
      <c r="W76" s="13"/>
    </row>
    <row r="77" spans="1:24" x14ac:dyDescent="0.25">
      <c r="V77" s="1"/>
      <c r="W77" s="1"/>
    </row>
    <row r="78" spans="1:24" x14ac:dyDescent="0.25">
      <c r="V78" s="1"/>
      <c r="W78" s="1"/>
    </row>
    <row r="79" spans="1:24" x14ac:dyDescent="0.25">
      <c r="V79" s="1"/>
      <c r="W79" s="1"/>
    </row>
    <row r="80" spans="1:24" x14ac:dyDescent="0.25">
      <c r="V80" s="10"/>
      <c r="W80" s="10"/>
    </row>
    <row r="81" spans="1:23" x14ac:dyDescent="0.25">
      <c r="V81" s="10"/>
      <c r="W81" s="10"/>
    </row>
    <row r="82" spans="1:23" x14ac:dyDescent="0.25">
      <c r="V82" s="1"/>
      <c r="W82" s="10"/>
    </row>
    <row r="83" spans="1:23" x14ac:dyDescent="0.25">
      <c r="V83" s="1"/>
      <c r="W83" s="1"/>
    </row>
    <row r="84" spans="1:23" x14ac:dyDescent="0.25">
      <c r="V84" s="1"/>
      <c r="W84" s="1"/>
    </row>
    <row r="85" spans="1:23" x14ac:dyDescent="0.25">
      <c r="V85" s="1"/>
      <c r="W85" s="1"/>
    </row>
    <row r="86" spans="1:23" x14ac:dyDescent="0.25">
      <c r="V86" s="1"/>
      <c r="W86" s="1"/>
    </row>
    <row r="87" spans="1:23" x14ac:dyDescent="0.25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2"/>
      <c r="W87" s="2"/>
    </row>
    <row r="92" spans="1:23" x14ac:dyDescent="0.25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</row>
  </sheetData>
  <phoneticPr fontId="2" type="noConversion"/>
  <pageMargins left="0.75" right="0.75" top="1" bottom="1" header="0.5" footer="0.5"/>
  <pageSetup paperSize="9" scale="7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DB54"/>
  <sheetViews>
    <sheetView tabSelected="1" zoomScaleNormal="100" workbookViewId="0"/>
  </sheetViews>
  <sheetFormatPr defaultColWidth="9.109375" defaultRowHeight="13.2" x14ac:dyDescent="0.25"/>
  <cols>
    <col min="1" max="1" width="24.6640625" customWidth="1"/>
    <col min="2" max="2" width="10.6640625" customWidth="1"/>
    <col min="3" max="3" width="11.44140625" bestFit="1" customWidth="1"/>
    <col min="4" max="12" width="11.44140625" customWidth="1"/>
    <col min="13" max="20" width="10.6640625" customWidth="1"/>
  </cols>
  <sheetData>
    <row r="1" spans="1:21" ht="13.8" thickBot="1" x14ac:dyDescent="0.3">
      <c r="A1" s="36" t="s">
        <v>91</v>
      </c>
      <c r="B1" s="20" t="s">
        <v>182</v>
      </c>
      <c r="C1" s="46" t="s">
        <v>183</v>
      </c>
      <c r="D1" s="79" t="s">
        <v>180</v>
      </c>
      <c r="E1" s="127">
        <v>45658</v>
      </c>
      <c r="F1" s="82">
        <v>45292</v>
      </c>
      <c r="G1" s="82">
        <v>44927</v>
      </c>
      <c r="H1" s="82">
        <v>44562</v>
      </c>
      <c r="I1" s="82">
        <v>44197</v>
      </c>
      <c r="J1" s="82">
        <v>43831</v>
      </c>
      <c r="K1" s="82">
        <v>43466</v>
      </c>
      <c r="L1" s="21">
        <v>43101</v>
      </c>
      <c r="M1" s="21">
        <v>42736</v>
      </c>
      <c r="N1" s="21">
        <v>42370</v>
      </c>
      <c r="O1" s="21">
        <v>42005</v>
      </c>
      <c r="P1" s="21">
        <v>41640</v>
      </c>
      <c r="Q1" s="21">
        <v>41275</v>
      </c>
      <c r="R1" s="21">
        <v>40909</v>
      </c>
      <c r="S1" s="21">
        <v>40544</v>
      </c>
      <c r="T1" s="22">
        <v>40179</v>
      </c>
    </row>
    <row r="2" spans="1:21" x14ac:dyDescent="0.25">
      <c r="A2" s="37" t="s">
        <v>20</v>
      </c>
      <c r="B2" s="44">
        <f>IFERROR((E2/F2-1), "")</f>
        <v>0.66666666666666674</v>
      </c>
      <c r="C2" s="75">
        <f>E2-'[1]EU - variety'!E2</f>
        <v>-15000</v>
      </c>
      <c r="D2" s="35">
        <f>F2-'[1]EU - variety'!F2</f>
        <v>-11000</v>
      </c>
      <c r="E2" s="40">
        <f>Italy!E$2</f>
        <v>15000</v>
      </c>
      <c r="F2" s="35">
        <f>Italy!F$2</f>
        <v>9000</v>
      </c>
      <c r="G2" s="35">
        <f>Italy!G$2</f>
        <v>10000</v>
      </c>
      <c r="H2" s="35">
        <f>Italy!H$2</f>
        <v>10000</v>
      </c>
      <c r="I2" s="35">
        <f>Italy!I$2</f>
        <v>10000</v>
      </c>
      <c r="J2" s="35">
        <f>Italy!J$2</f>
        <v>10000</v>
      </c>
      <c r="K2" s="35">
        <f>Italy!K$2</f>
        <v>12500</v>
      </c>
      <c r="L2" s="35">
        <f>Italy!L$2</f>
        <v>10000</v>
      </c>
      <c r="M2" s="35">
        <f>Italy!M$2</f>
        <v>10000</v>
      </c>
      <c r="N2" s="35">
        <f>Italy!N$2</f>
        <v>10000</v>
      </c>
      <c r="O2" s="35">
        <f>Italy!O$2</f>
        <v>12268</v>
      </c>
      <c r="P2" s="35">
        <f>Italy!P$2</f>
        <v>0</v>
      </c>
      <c r="Q2" s="35">
        <f>Italy!Q$2</f>
        <v>10026.647632643349</v>
      </c>
      <c r="R2" s="35">
        <f>Italy!R$2</f>
        <v>10023.029633543058</v>
      </c>
      <c r="S2" s="35">
        <f>Italy!S$2</f>
        <v>10037.820628073821</v>
      </c>
      <c r="T2" s="65">
        <f>Italy!T$2</f>
        <v>10000</v>
      </c>
      <c r="U2" s="35"/>
    </row>
    <row r="3" spans="1:21" x14ac:dyDescent="0.25">
      <c r="A3" s="37" t="s">
        <v>4</v>
      </c>
      <c r="B3" s="44">
        <f t="shared" ref="B3:B50" si="0">IFERROR((E3/F3-1), "")</f>
        <v>-3.515300489070261E-2</v>
      </c>
      <c r="C3" s="75">
        <f>E3-'[1]EU - variety'!E3</f>
        <v>-6902.0033185496159</v>
      </c>
      <c r="D3" s="35">
        <f>F3-'[1]EU - variety'!F3</f>
        <v>-7315.1418991400606</v>
      </c>
      <c r="E3" s="40">
        <f>Austria!E$3+Belgium!E$2+Denmark!E$2+France!E$4+Germany!E$2+Switzerland!E$2+Netherlands!E$2+Poland!E$2</f>
        <v>11797.661020454334</v>
      </c>
      <c r="F3" s="35">
        <f>Austria!F$3+Belgium!F$2+Denmark!F$2+France!F$4+Germany!F$2+Switzerland!F$2+Netherlands!F$2+Poland!F$2</f>
        <v>12227.494183280221</v>
      </c>
      <c r="G3" s="35">
        <f>Austria!G$3+Belgium!G$2+Denmark!G$2+France!G$4+Germany!G$2+Switzerland!G$2+Netherlands!G$2+Poland!G$2</f>
        <v>17844.344193734389</v>
      </c>
      <c r="H3" s="35">
        <f>Austria!H$3+Belgium!H$2+Denmark!H$2+France!H$4+Germany!H$2+Switzerland!H$2+Netherlands!H$2+Poland!H$2</f>
        <v>22139.245947459887</v>
      </c>
      <c r="I3" s="35">
        <f>Austria!I$3+Belgium!I$2+Denmark!I$2+France!I$4+Germany!I$2+Switzerland!I$2+Netherlands!I$2+Poland!I$2</f>
        <v>10651.900000000001</v>
      </c>
      <c r="J3" s="35">
        <f>Austria!J$3+Belgium!J$2+Denmark!J$2+France!J$4+Germany!J$2+Switzerland!J$2+Netherlands!J$2+Poland!J$2</f>
        <v>13780</v>
      </c>
      <c r="K3" s="35">
        <f>Austria!K$3+Belgium!K$2+Denmark!K$2+France!K$4+Germany!K$2+Switzerland!K$2+Netherlands!K$2+Poland!K$2</f>
        <v>21631.7</v>
      </c>
      <c r="L3" s="35">
        <f>Austria!L$3+Belgium!L$2+Denmark!L$2+France!L$4+Germany!L$2+Switzerland!L$2+Netherlands!L$2+Poland!L$2</f>
        <v>3526</v>
      </c>
      <c r="M3" s="35">
        <f>Austria!M$3+Belgium!M$2+Denmark!M$2+France!M$4+Germany!M$2+Switzerland!M$2+Netherlands!M$2+Poland!M$2</f>
        <v>19447</v>
      </c>
      <c r="N3" s="35">
        <f>Austria!N$3+Belgium!N$2+Denmark!N$2+France!N$4+Germany!N$2+Switzerland!N$2+Netherlands!N$2+Poland!N$2</f>
        <v>21287.17</v>
      </c>
      <c r="O3" s="35">
        <f>Austria!O$3+Belgium!O$2+Denmark!O$2+France!O$4+Germany!O$2+Switzerland!O$2+Netherlands!O$2+Poland!O$2</f>
        <v>27839</v>
      </c>
      <c r="P3" s="35">
        <f>Austria!P$3+Belgium!P$2+Denmark!P$2+France!P$4+Germany!P$2+Switzerland!P$2+Netherlands!P$2+Poland!P$2</f>
        <v>15349.79</v>
      </c>
      <c r="Q3" s="35">
        <f>Austria!Q$3+Belgium!Q$2+Denmark!Q$2+France!Q$4+Germany!Q$2+Switzerland!Q$2+Netherlands!Q$2+Poland!Q$2</f>
        <v>13828</v>
      </c>
      <c r="R3" s="35">
        <f>Austria!R$3+Belgium!R$2+Denmark!R$2+France!R$4+Germany!R$2+Switzerland!R$2+Netherlands!R$2+Poland!R$2</f>
        <v>19323</v>
      </c>
      <c r="S3" s="35">
        <f>Austria!S$3+Belgium!S$2+Denmark!S$2+France!S$4+Germany!S$2+Switzerland!S$2+Netherlands!S$2+Poland!S$2</f>
        <v>14664</v>
      </c>
      <c r="T3" s="65">
        <f>Austria!T$3+Belgium!T$2+Denmark!T$2+France!T$4+Germany!T$2+Switzerland!T$2+Netherlands!T$2+Poland!T$2</f>
        <v>24900</v>
      </c>
      <c r="U3" s="3"/>
    </row>
    <row r="4" spans="1:21" x14ac:dyDescent="0.25">
      <c r="A4" s="37" t="s">
        <v>11</v>
      </c>
      <c r="B4" s="44">
        <f t="shared" si="0"/>
        <v>-4.6133855507796584E-2</v>
      </c>
      <c r="C4" s="75">
        <f>E4-'[1]EU - variety'!E4</f>
        <v>-15631.802749733295</v>
      </c>
      <c r="D4" s="35">
        <f>F4-'[1]EU - variety'!F4</f>
        <v>4071.0114103903761</v>
      </c>
      <c r="E4" s="40">
        <f>Austria!E$4+France!E$5+Germany!E$3+Italy!E$3+Switzerland!E$3+UK!E$2+'Czech Republic'!E$2+Slovakia!C2</f>
        <v>103814.58186956521</v>
      </c>
      <c r="F4" s="35">
        <f>Austria!F$4+France!F$5+Germany!F$3+Italy!F$3+Switzerland!F$3+UK!F$2+'Czech Republic'!F$2+Slovakia!D2</f>
        <v>108835.58711985899</v>
      </c>
      <c r="G4" s="35">
        <f>Austria!G$4+France!G$5+Germany!G$3+Italy!G$3+Switzerland!G$3+UK!G$2+'Czech Republic'!G$2+Slovakia!F2</f>
        <v>131188.75938594402</v>
      </c>
      <c r="H4" s="35">
        <f>Austria!H$4+France!H$5+Germany!H$3+Italy!H$3+Switzerland!H$3+UK!H$2+'Czech Republic'!H$2+Slovakia!G2</f>
        <v>129644.29276295414</v>
      </c>
      <c r="I4" s="35">
        <f>Austria!I$4+France!I$5+Germany!I$3+Italy!I$3+Switzerland!I$3+UK!I$2+'Czech Republic'!I$2</f>
        <v>125270.20000000001</v>
      </c>
      <c r="J4" s="35">
        <f>Austria!J$4+France!J$5+Germany!J$3+Italy!J$3+Switzerland!J$3+UK!J$2+'Czech Republic'!J$2</f>
        <v>147244</v>
      </c>
      <c r="K4" s="35">
        <f>Austria!K$4+France!K$5+Germany!K$3+Italy!K$3+Switzerland!K$3+UK!K$2+'Czech Republic'!K$2</f>
        <v>161249.16999999998</v>
      </c>
      <c r="L4" s="35">
        <f>Austria!L$4+France!L$5+Germany!L$3+Italy!L$3+Switzerland!L$3+UK!L$2+'Czech Republic'!L$2</f>
        <v>105583.81</v>
      </c>
      <c r="M4" s="35">
        <f>Austria!M$4+France!M$5+Germany!M$3+Italy!M$3+Switzerland!M$3+UK!M$2+'Czech Republic'!M$2</f>
        <v>156032.46000000002</v>
      </c>
      <c r="N4" s="35">
        <f>Austria!N$4+France!N$5+Germany!N$3+Italy!N$3+Switzerland!N$3+UK!N$2+'Czech Republic'!N$2</f>
        <v>174121.05</v>
      </c>
      <c r="O4" s="35">
        <f>Austria!O$4+France!O$5+Germany!O$3+Italy!O$3+Switzerland!O$3+UK!O$2+'Czech Republic'!O$2</f>
        <v>164154</v>
      </c>
      <c r="P4" s="35">
        <f>Austria!P$4+France!P$5+Germany!P$3+Italy!P$3+Switzerland!P$3+UK!P$2+'Czech Republic'!P$2</f>
        <v>170290.26</v>
      </c>
      <c r="Q4" s="35">
        <f>Austria!Q$4+France!Q$5+Germany!Q$3+Italy!Q$3+Switzerland!Q$3+UK!Q$2+'Czech Republic'!Q$2</f>
        <v>128013.04610992149</v>
      </c>
      <c r="R4" s="35">
        <f>Austria!R$4+France!R$5+Germany!R$3+Italy!R$3+Switzerland!R$3+UK!R$2+'Czech Republic'!R$2</f>
        <v>181358.41657749389</v>
      </c>
      <c r="S4" s="35">
        <f>Austria!S$4+France!S$5+Germany!S$3+Italy!S$3+Switzerland!S$3+UK!S$2+'Czech Republic'!S$2</f>
        <v>160005.18072277654</v>
      </c>
      <c r="T4" s="65">
        <f>Austria!T$4+France!T$5+Germany!T$3+Italy!T$3+Switzerland!T$3+UK!T$2+'Czech Republic'!T$2</f>
        <v>183739</v>
      </c>
    </row>
    <row r="5" spans="1:21" x14ac:dyDescent="0.25">
      <c r="A5" s="37" t="s">
        <v>36</v>
      </c>
      <c r="B5" s="44">
        <f t="shared" si="0"/>
        <v>0.84093941820122775</v>
      </c>
      <c r="C5" s="75">
        <f>E5-'[1]EU - variety'!E5</f>
        <v>-1078</v>
      </c>
      <c r="D5" s="35">
        <f>F5-'[1]EU - variety'!F5</f>
        <v>3747</v>
      </c>
      <c r="E5" s="40">
        <f>UK!E$3</f>
        <v>6898</v>
      </c>
      <c r="F5" s="35">
        <f>UK!F$3</f>
        <v>3747</v>
      </c>
      <c r="G5" s="35">
        <f>UK!G$3</f>
        <v>8222</v>
      </c>
      <c r="H5" s="35">
        <f>UK!H$3</f>
        <v>22939</v>
      </c>
      <c r="I5" s="35">
        <f>UK!I$3</f>
        <v>29642</v>
      </c>
      <c r="J5" s="35">
        <f>UK!J$3</f>
        <v>31734</v>
      </c>
      <c r="K5" s="35">
        <f>UK!K$3</f>
        <v>41987</v>
      </c>
      <c r="L5" s="35">
        <f>UK!L$3</f>
        <v>40162</v>
      </c>
      <c r="M5" s="35">
        <f>UK!M$3</f>
        <v>41420</v>
      </c>
      <c r="N5" s="35">
        <f>UK!N$3</f>
        <v>37000</v>
      </c>
      <c r="O5" s="35">
        <f>UK!O$3</f>
        <v>53000</v>
      </c>
      <c r="P5" s="35">
        <f>UK!P$3</f>
        <v>49000</v>
      </c>
      <c r="Q5" s="35">
        <f>UK!Q$3</f>
        <v>24000</v>
      </c>
      <c r="R5" s="35">
        <f>UK!R$3</f>
        <v>53000</v>
      </c>
      <c r="S5" s="35">
        <f>UK!S$3</f>
        <v>62000</v>
      </c>
      <c r="T5" s="65">
        <f>UK!T$3</f>
        <v>54000</v>
      </c>
    </row>
    <row r="6" spans="1:21" x14ac:dyDescent="0.25">
      <c r="A6" s="37" t="s">
        <v>29</v>
      </c>
      <c r="B6" s="44">
        <f t="shared" si="0"/>
        <v>0.73729657920956493</v>
      </c>
      <c r="C6" s="75">
        <f>E6-'[1]EU - variety'!E6</f>
        <v>-298</v>
      </c>
      <c r="D6" s="35">
        <f>F6-'[1]EU - variety'!F6</f>
        <v>3011</v>
      </c>
      <c r="E6" s="40">
        <f>France!E6+UK!E4</f>
        <v>5231</v>
      </c>
      <c r="F6" s="35">
        <f>France!F6+UK!F4</f>
        <v>3011</v>
      </c>
      <c r="G6" s="35">
        <f>France!G6+UK!G4</f>
        <v>5528</v>
      </c>
      <c r="H6" s="35">
        <f>France!H6+UK!H4</f>
        <v>4231</v>
      </c>
      <c r="I6" s="35">
        <f>France!I6+UK!I4</f>
        <v>4308</v>
      </c>
      <c r="J6" s="35">
        <f>France!J6+UK!J4</f>
        <v>2933</v>
      </c>
      <c r="K6" s="35">
        <f>France!K6+UK!K4</f>
        <v>2285</v>
      </c>
      <c r="L6" s="35">
        <f>France!L6+UK!L4</f>
        <v>0</v>
      </c>
      <c r="M6" s="35">
        <f>France!M6+UK!M4</f>
        <v>0</v>
      </c>
      <c r="N6" s="35">
        <f>France!N6+UK!N4</f>
        <v>1600</v>
      </c>
      <c r="O6" s="35">
        <f>France!O6+UK!O4</f>
        <v>0</v>
      </c>
      <c r="P6" s="35">
        <f>France!P6+UK!P4</f>
        <v>1700</v>
      </c>
      <c r="Q6" s="35">
        <f>France!Q6+UK!Q4</f>
        <v>0</v>
      </c>
      <c r="R6" s="35">
        <f>France!R6+UK!R4</f>
        <v>1048</v>
      </c>
      <c r="S6" s="35">
        <f>France!S6+UK!S4</f>
        <v>3311</v>
      </c>
      <c r="T6" s="65">
        <f>France!T6+UK!T4</f>
        <v>4769</v>
      </c>
    </row>
    <row r="7" spans="1:21" x14ac:dyDescent="0.25">
      <c r="A7" s="37" t="s">
        <v>33</v>
      </c>
      <c r="B7" s="44" t="str">
        <f t="shared" si="0"/>
        <v/>
      </c>
      <c r="C7" s="75">
        <f>E7-'[1]EU - variety'!E7</f>
        <v>0</v>
      </c>
      <c r="D7" s="35">
        <f>F7-'[1]EU - variety'!F7</f>
        <v>0</v>
      </c>
      <c r="E7" s="40">
        <f>Poland!E$3</f>
        <v>0</v>
      </c>
      <c r="F7" s="35">
        <f>Poland!F$3</f>
        <v>0</v>
      </c>
      <c r="G7" s="35">
        <f>Poland!G$3</f>
        <v>0</v>
      </c>
      <c r="H7" s="35">
        <f>Poland!H$3</f>
        <v>0</v>
      </c>
      <c r="I7" s="35">
        <f>Poland!I$3</f>
        <v>0</v>
      </c>
      <c r="J7" s="35">
        <f>Poland!J$3</f>
        <v>0</v>
      </c>
      <c r="K7" s="35">
        <f>Poland!K$3</f>
        <v>0</v>
      </c>
      <c r="L7" s="35">
        <f>Poland!L$3</f>
        <v>0</v>
      </c>
      <c r="M7" s="35">
        <f>Poland!M$3</f>
        <v>0</v>
      </c>
      <c r="N7" s="35">
        <f>Poland!N$3</f>
        <v>0</v>
      </c>
      <c r="O7" s="35">
        <f>Poland!O$3</f>
        <v>500</v>
      </c>
      <c r="P7" s="35">
        <f>Poland!P$3</f>
        <v>1000</v>
      </c>
      <c r="Q7" s="35">
        <f>Poland!Q$3</f>
        <v>5000</v>
      </c>
      <c r="R7" s="35">
        <f>Poland!R$3</f>
        <v>6000</v>
      </c>
      <c r="S7" s="35">
        <f>Poland!S$3</f>
        <v>15000</v>
      </c>
      <c r="T7" s="65">
        <f>Poland!T$3</f>
        <v>28000</v>
      </c>
    </row>
    <row r="8" spans="1:21" x14ac:dyDescent="0.25">
      <c r="A8" s="37" t="s">
        <v>5</v>
      </c>
      <c r="B8" s="44">
        <f t="shared" si="0"/>
        <v>3.1138613861386135</v>
      </c>
      <c r="C8" s="75">
        <f>E8-'[1]EU - variety'!E8</f>
        <v>-1195</v>
      </c>
      <c r="D8" s="35">
        <f>F8-'[1]EU - variety'!F8</f>
        <v>45</v>
      </c>
      <c r="E8" s="40">
        <f>Belgium!E$3+Denmark!E$4+Germany!E$4+Switzerland!E$4+UK!E$5</f>
        <v>831</v>
      </c>
      <c r="F8" s="35">
        <f>Belgium!F$3+Denmark!F$4+Germany!F$4+Switzerland!F$4+UK!F$5</f>
        <v>202</v>
      </c>
      <c r="G8" s="35">
        <f>Belgium!G$3+Denmark!G$4+Germany!G$4+Switzerland!G$4+UK!G$5</f>
        <v>3554</v>
      </c>
      <c r="H8" s="35">
        <f>Belgium!H$3+Denmark!H$4+Germany!H$4+Switzerland!H$4+UK!H$5</f>
        <v>2652</v>
      </c>
      <c r="I8" s="35">
        <f>Belgium!I$3+Denmark!I$4+Germany!I$4+Switzerland!I$4+UK!I$5</f>
        <v>3279</v>
      </c>
      <c r="J8" s="35">
        <f>Belgium!J$3+Denmark!J$4+Germany!J$4+Switzerland!J$4+UK!J$5</f>
        <v>4313</v>
      </c>
      <c r="K8" s="35">
        <f>Belgium!K$3+Denmark!K$4+Germany!K$4+Switzerland!K$4+UK!K$5</f>
        <v>6984</v>
      </c>
      <c r="L8" s="35">
        <f>Belgium!L$3+Denmark!L$4+Germany!L$4+Switzerland!L$4+UK!L$5</f>
        <v>4254</v>
      </c>
      <c r="M8" s="35">
        <f>Belgium!M$3+Denmark!M$4+Germany!M$4+Switzerland!M$4+UK!M$5</f>
        <v>8852</v>
      </c>
      <c r="N8" s="35">
        <f>Belgium!N$3+Denmark!N$4+Germany!N$4+Switzerland!N$4+UK!N$5</f>
        <v>15990</v>
      </c>
      <c r="O8" s="35">
        <f>Belgium!O$3+Denmark!O$4+Germany!O$4+Switzerland!O$4+UK!O$5</f>
        <v>8789</v>
      </c>
      <c r="P8" s="35">
        <f>Belgium!P$3+Denmark!P$4+Germany!P$4+Switzerland!P$4+UK!P$5</f>
        <v>20948</v>
      </c>
      <c r="Q8" s="35">
        <f>Belgium!Q$3+Denmark!Q$4+Germany!Q$4+Switzerland!Q$4+UK!Q$5</f>
        <v>10076</v>
      </c>
      <c r="R8" s="35">
        <f>Belgium!R$3+Denmark!R$4+Germany!R$4+Switzerland!R$4+UK!R$5</f>
        <v>14713</v>
      </c>
      <c r="S8" s="35">
        <f>Belgium!S$3+Denmark!S$4+Germany!S$4+Switzerland!S$4+UK!S$5</f>
        <v>19623</v>
      </c>
      <c r="T8" s="65">
        <f>Belgium!T$3+Denmark!T$4+Germany!T$4+Switzerland!T$4+UK!T$5</f>
        <v>21156</v>
      </c>
    </row>
    <row r="9" spans="1:21" x14ac:dyDescent="0.25">
      <c r="A9" s="37" t="s">
        <v>61</v>
      </c>
      <c r="B9" s="44">
        <f t="shared" si="0"/>
        <v>5.0977891199033509E-2</v>
      </c>
      <c r="C9" s="75">
        <f>E9-'[1]EU - variety'!E9</f>
        <v>-24985.869000000035</v>
      </c>
      <c r="D9" s="35">
        <f>F9-'[1]EU - variety'!F9</f>
        <v>-23528.571000000025</v>
      </c>
      <c r="E9" s="40">
        <f>France!E$8+Italy!E$4</f>
        <v>251915.617</v>
      </c>
      <c r="F9" s="35">
        <f>France!F$8+Italy!F$4</f>
        <v>239696.4</v>
      </c>
      <c r="G9" s="35">
        <f>France!G$8+Italy!G$4</f>
        <v>217732.26355</v>
      </c>
      <c r="H9" s="35">
        <f>France!H$8+Italy!H$4</f>
        <v>169048.88</v>
      </c>
      <c r="I9" s="35">
        <f>France!I$8+Italy!I$4</f>
        <v>186804.1</v>
      </c>
      <c r="J9" s="35">
        <f>France!J$8+Italy!J$4</f>
        <v>172565</v>
      </c>
      <c r="K9" s="35">
        <f>France!K$8+Italy!K$4</f>
        <v>180526.34</v>
      </c>
      <c r="L9" s="35">
        <f>France!L$8+Italy!L$4</f>
        <v>157871.89000000001</v>
      </c>
      <c r="M9" s="35">
        <f>France!M$8+Italy!M$4</f>
        <v>164716.20000000001</v>
      </c>
      <c r="N9" s="35">
        <f>France!N$8+Italy!N$4</f>
        <v>137408.79999999999</v>
      </c>
      <c r="O9" s="35">
        <f>France!O$8+Italy!O$4</f>
        <v>156923</v>
      </c>
      <c r="P9" s="35">
        <f>France!P$8+Italy!P$4</f>
        <v>120119</v>
      </c>
      <c r="Q9" s="35">
        <f>France!Q$8+Italy!Q$4</f>
        <v>95814.53004996432</v>
      </c>
      <c r="R9" s="35">
        <f>France!R$8+Italy!R$4</f>
        <v>128861.83922722252</v>
      </c>
      <c r="S9" s="35">
        <f>France!S$8+Italy!S$4</f>
        <v>95699.819226308013</v>
      </c>
      <c r="T9" s="65">
        <f>France!T$8+Italy!T$4</f>
        <v>49442</v>
      </c>
    </row>
    <row r="10" spans="1:21" x14ac:dyDescent="0.25">
      <c r="A10" s="37" t="s">
        <v>2</v>
      </c>
      <c r="B10" s="44">
        <f t="shared" si="0"/>
        <v>0.14553984115592233</v>
      </c>
      <c r="C10" s="75">
        <f>E10-'[1]EU - variety'!E10</f>
        <v>-17198.73532985308</v>
      </c>
      <c r="D10" s="35">
        <f>F10-'[1]EU - variety'!F10</f>
        <v>-19749.066695075671</v>
      </c>
      <c r="E10" s="40">
        <f>Austria!E$5+Belgium!E$4+Denmark!E$5+France!E$9+Germany!E$5+Italy!E$5+Switzerland!E$5+Netherlands!E$3+Poland!E$4</f>
        <v>109545.26467014692</v>
      </c>
      <c r="F10" s="35">
        <f>Austria!F$5+Belgium!F$4+Denmark!F$5+France!F$9+Germany!F$5+Italy!F$5+Switzerland!F$5+Netherlands!F$3+Poland!F$4</f>
        <v>95627.634006695749</v>
      </c>
      <c r="G10" s="35">
        <f>Austria!G$5+Belgium!G$4+Denmark!G$5+France!G$9+Germany!G$5+Italy!G$5+Switzerland!G$5+Netherlands!G$3+Poland!G$4</f>
        <v>144955.43835616438</v>
      </c>
      <c r="H10" s="35">
        <f>Austria!H$5+Belgium!H$4+Denmark!H$5+France!H$9+Germany!H$5+Italy!H$5+Switzerland!H$5+Netherlands!H$3+Poland!H$4</f>
        <v>127808.450610881</v>
      </c>
      <c r="I10" s="35">
        <f>Austria!I$5+Belgium!I$4+Denmark!I$5+France!I$9+Germany!I$5+Italy!I$5+Switzerland!I$5+Netherlands!I$3+Poland!I$4</f>
        <v>102828.20000000001</v>
      </c>
      <c r="J10" s="35">
        <f>Austria!J$5+Belgium!J$4+Denmark!J$5+France!J$9+Germany!J$5+Italy!J$5+Switzerland!J$5+Netherlands!J$3+Poland!J$4</f>
        <v>142705</v>
      </c>
      <c r="K10" s="35">
        <f>Austria!K$5+Belgium!K$4+Denmark!K$5+France!K$9+Germany!K$5+Italy!K$5+Switzerland!K$5+Netherlands!K$3+Poland!K$4</f>
        <v>125240.67</v>
      </c>
      <c r="L10" s="35">
        <f>Austria!L$5+Belgium!L$4+Denmark!L$5+France!L$9+Germany!L$5+Italy!L$5+Switzerland!L$5+Netherlands!L$3+Poland!L$4</f>
        <v>89041</v>
      </c>
      <c r="M10" s="35">
        <f>Austria!M$5+Belgium!M$4+Denmark!M$5+France!M$9+Germany!M$5+Italy!M$5+Switzerland!M$5+Netherlands!M$3+Poland!M$4</f>
        <v>129151.79000000001</v>
      </c>
      <c r="N10" s="35">
        <f>Austria!N$5+Belgium!N$4+Denmark!N$5+France!N$9+Germany!N$5+Italy!N$5+Switzerland!N$5+Netherlands!N$3+Poland!N$4</f>
        <v>144811.06</v>
      </c>
      <c r="O10" s="35">
        <f>Austria!O$5+Belgium!O$4+Denmark!O$5+France!O$9+Germany!O$5+Italy!O$5+Switzerland!O$5+Netherlands!O$3+Poland!O$4</f>
        <v>156610</v>
      </c>
      <c r="P10" s="35">
        <f>Austria!P$5+Belgium!P$4+Denmark!P$5+France!P$9+Germany!P$5+Italy!P$5+Switzerland!P$5+Netherlands!P$3+Poland!P$4</f>
        <v>123909.23999999999</v>
      </c>
      <c r="Q10" s="35">
        <f>Austria!Q$5+Belgium!Q$4+Denmark!Q$5+France!Q$9+Germany!Q$5+Italy!Q$5+Switzerland!Q$5+Netherlands!Q$3+Poland!Q$4</f>
        <v>120737.01065905305</v>
      </c>
      <c r="R10" s="35">
        <f>Austria!R$5+Belgium!R$4+Denmark!R$5+France!R$9+Germany!R$5+Italy!R$5+Switzerland!R$5+Netherlands!R$3+Poland!R$4</f>
        <v>155693.84738965466</v>
      </c>
      <c r="S10" s="35">
        <f>Austria!S$5+Belgium!S$4+Denmark!S$5+France!S$9+Germany!S$5+Italy!S$5+Switzerland!S$5+Netherlands!S$3+Poland!S$4</f>
        <v>116148</v>
      </c>
      <c r="T10" s="65">
        <f>Austria!T$5+Belgium!T$4+Denmark!T$5+France!T$9+Germany!T$5+Italy!T$5+Switzerland!T$5+Netherlands!T$3+Poland!T$4</f>
        <v>190776</v>
      </c>
    </row>
    <row r="11" spans="1:21" x14ac:dyDescent="0.25">
      <c r="A11" s="37" t="s">
        <v>12</v>
      </c>
      <c r="B11" s="44">
        <f t="shared" si="0"/>
        <v>4.4595731392405025E-2</v>
      </c>
      <c r="C11" s="75">
        <f>E11-'[1]EU - variety'!E11</f>
        <v>-23726.500549326156</v>
      </c>
      <c r="D11" s="35">
        <f>F11-'[1]EU - variety'!F11</f>
        <v>-23396.960188324432</v>
      </c>
      <c r="E11" s="40">
        <f>Austria!E$7+Denmark!E$6+France!E$10+Germany!E$6+Italy!E$6+Spain!E$2+Slovakia!C4</f>
        <v>135126.89347019573</v>
      </c>
      <c r="F11" s="35">
        <f>Austria!F$7+Denmark!F$6+France!F$10+Germany!F$6+Italy!F$6+Spain!F$2+Slovakia!D4</f>
        <v>129358.07548253801</v>
      </c>
      <c r="G11" s="35">
        <f>Austria!G$7+Denmark!G$6+France!G$10+Germany!G$6+Italy!G$6+Spain!G$2+Slovakia!F4</f>
        <v>140106.33247924771</v>
      </c>
      <c r="H11" s="35">
        <f>Austria!H$7+Denmark!H$6+France!H$10+Germany!H$6+Italy!H$6+Spain!H$2+Slovakia!G4</f>
        <v>151487.22384590909</v>
      </c>
      <c r="I11" s="35">
        <f>Austria!I$7+Denmark!I$6+France!I$10+Germany!I$6+Italy!I$6+Spain!I$2</f>
        <v>151988.28685567767</v>
      </c>
      <c r="J11" s="35">
        <f>Austria!J$7+Denmark!J$6+France!J$10+Germany!J$6+Italy!J$6+Spain!J$2</f>
        <v>156635.50567209191</v>
      </c>
      <c r="K11" s="35">
        <f>Austria!K$7+Denmark!K$6+France!K$10+Germany!K$6+Italy!K$6+Spain!K$2</f>
        <v>164639.27861196426</v>
      </c>
      <c r="L11" s="35">
        <f>Austria!L$7+Denmark!L$6+France!L$10+Germany!L$6+Italy!L$6+Spain!L$2</f>
        <v>133415.25318810041</v>
      </c>
      <c r="M11" s="35">
        <f>Austria!M$7+Denmark!M$6+France!M$10+Germany!M$6+Italy!M$6+Spain!M$2</f>
        <v>158772.4135719678</v>
      </c>
      <c r="N11" s="35">
        <f>Austria!N$7+Denmark!N$6+France!N$10+Germany!N$6+Italy!N$6+Spain!N$2</f>
        <v>180237.81871880993</v>
      </c>
      <c r="O11" s="35">
        <f>Austria!O$7+Denmark!O$6+France!O$10+Germany!O$6+Italy!O$6+Spain!O$2</f>
        <v>168071.3712767628</v>
      </c>
      <c r="P11" s="35">
        <f>Austria!P$7+Denmark!P$6+France!P$10+Germany!P$6+Italy!P$6+Spain!P$2</f>
        <v>171055.65074464388</v>
      </c>
      <c r="Q11" s="35">
        <f>Austria!Q$7+Denmark!Q$6+France!Q$10+Germany!Q$6+Italy!Q$6+Spain!Q$2</f>
        <v>105922.62795753183</v>
      </c>
      <c r="R11" s="35">
        <f>Austria!R$7+Denmark!R$6+France!R$10+Germany!R$6+Italy!R$6+Spain!R$2</f>
        <v>149318.27686470392</v>
      </c>
      <c r="S11" s="35">
        <f>Austria!S$7+Denmark!S$6+France!S$10+Germany!S$6+Italy!S$6+Spain!S$2</f>
        <v>151837.00268101634</v>
      </c>
      <c r="T11" s="65">
        <f>Austria!T$7+Denmark!T$6+France!T$10+Germany!T$6+Italy!T$6+Spain!T$2</f>
        <v>138047</v>
      </c>
    </row>
    <row r="12" spans="1:21" x14ac:dyDescent="0.25">
      <c r="A12" s="37" t="s">
        <v>9</v>
      </c>
      <c r="B12" s="44">
        <f t="shared" si="0"/>
        <v>-0.11463308595822197</v>
      </c>
      <c r="C12" s="75">
        <f>E12-'[1]EU - variety'!E12</f>
        <v>-111765.21975796093</v>
      </c>
      <c r="D12" s="35">
        <f>F12-'[1]EU - variety'!F12</f>
        <v>-40556.837003505323</v>
      </c>
      <c r="E12" s="40">
        <f>Austria!E$8+'Czech Republic'!E$3+Denmark!E$7+France!E$11+Germany!E$7+Italy!E$7+Spain!E$3+Switzerland!E$6+UK!E$6+Poland!E$5+Slovakia!C5</f>
        <v>360597.41092539404</v>
      </c>
      <c r="F12" s="35">
        <f>Austria!F$8+'Czech Republic'!F$3+Denmark!F$7+France!F$11+Germany!F$7+Italy!F$7+Spain!F$3+Switzerland!F$6+UK!F$6+Poland!F$5+Slovakia!D5</f>
        <v>407285.84410189337</v>
      </c>
      <c r="G12" s="35">
        <f>Austria!G$8+'Czech Republic'!G$3+Denmark!G$7+France!G$11+Germany!G$7+Italy!G$7+Spain!G$3+Switzerland!G$6+UK!G$6+Poland!G$5+Slovakia!F5</f>
        <v>437220.64358455339</v>
      </c>
      <c r="H12" s="35">
        <f>Austria!H$8+'Czech Republic'!H$3+Denmark!H$7+France!H$11+Germany!H$7+Italy!H$7+Spain!H$3+Switzerland!H$6+UK!H$6+Poland!H$5+Slovakia!G5</f>
        <v>508371.03558971145</v>
      </c>
      <c r="I12" s="35">
        <f>Austria!I$8+'Czech Republic'!I$3+Denmark!I$7+France!I$11+Germany!I$7+Italy!I$7+Spain!I$3+Switzerland!I$6+UK!I$6+Poland!I$5</f>
        <v>439507.98712910729</v>
      </c>
      <c r="J12" s="35">
        <f>Austria!J$8+'Czech Republic'!J$3+Denmark!J$7+France!J$11+Germany!J$7+Italy!J$7+Spain!J$3+Switzerland!J$6+UK!J$6+Poland!J$5</f>
        <v>425905.27095020359</v>
      </c>
      <c r="K12" s="35">
        <f>Austria!K$8+'Czech Republic'!K$3+Denmark!K$7+France!K$11+Germany!K$7+Italy!K$7+Spain!K$3+Switzerland!K$6+UK!K$6+Poland!K$5</f>
        <v>444050.61490073905</v>
      </c>
      <c r="L12" s="35">
        <f>Austria!L$8+'Czech Republic'!L$3+Denmark!L$7+France!L$11+Germany!L$7+Italy!L$7+Spain!L$3+Switzerland!L$6+UK!L$6+Poland!L$5</f>
        <v>292156.74968223495</v>
      </c>
      <c r="M12" s="35">
        <f>Austria!M$8+'Czech Republic'!M$3+Denmark!M$7+France!M$11+Germany!M$7+Italy!M$7+Spain!M$3+Switzerland!M$6+UK!M$6+Poland!M$5</f>
        <v>291572.25924304116</v>
      </c>
      <c r="N12" s="35">
        <f>Austria!N$8+'Czech Republic'!N$3+Denmark!N$7+France!N$11+Germany!N$7+Italy!N$7+Spain!N$3+Switzerland!N$6+UK!N$6+Poland!N$5</f>
        <v>310544.58807626367</v>
      </c>
      <c r="O12" s="35">
        <f>Austria!O$8+'Czech Republic'!O$3+Denmark!O$7+France!O$11+Germany!O$7+Italy!O$7+Spain!O$3+Switzerland!O$6+UK!O$6+Poland!O$5</f>
        <v>291000.04110934958</v>
      </c>
      <c r="P12" s="35">
        <f>Austria!P$8+'Czech Republic'!P$3+Denmark!P$7+France!P$11+Germany!P$7+Italy!P$7+Spain!P$3+Switzerland!P$6+UK!P$6+Poland!P$5</f>
        <v>312603.74759723397</v>
      </c>
      <c r="Q12" s="35">
        <f>Austria!Q$8+'Czech Republic'!Q$3+Denmark!Q$7+France!Q$11+Germany!Q$7+Italy!Q$7+Spain!Q$3+Switzerland!Q$6+UK!Q$6+Poland!Q$5</f>
        <v>226823.95721653057</v>
      </c>
      <c r="R12" s="35">
        <f>Austria!R$8+'Czech Republic'!R$3+Denmark!R$7+France!R$11+Germany!R$7+Italy!R$7+Spain!R$3+Switzerland!R$6+UK!R$6+Poland!R$5</f>
        <v>309238.5892574804</v>
      </c>
      <c r="S12" s="35">
        <f>Austria!S$8+'Czech Republic'!S$3+Denmark!S$7+France!S$11+Germany!S$7+Italy!S$7+Spain!S$3+Switzerland!S$6+UK!S$6+Poland!S$5</f>
        <v>279732.26826233545</v>
      </c>
      <c r="T12" s="65">
        <f>Austria!T$8+'Czech Republic'!T$3+Denmark!T$7+France!T$11+Germany!T$7+Italy!T$7+Spain!T$3+Switzerland!T$6+UK!T$6+Poland!T$5</f>
        <v>279359</v>
      </c>
    </row>
    <row r="13" spans="1:21" x14ac:dyDescent="0.25">
      <c r="A13" s="37" t="s">
        <v>14</v>
      </c>
      <c r="B13" s="44">
        <f t="shared" si="0"/>
        <v>-9.6537617242067442E-2</v>
      </c>
      <c r="C13" s="75">
        <f>E13-'[1]EU - variety'!E13</f>
        <v>-4613.3872416844097</v>
      </c>
      <c r="D13" s="35">
        <f>F13-'[1]EU - variety'!F13</f>
        <v>-5011</v>
      </c>
      <c r="E13" s="40">
        <f>Austria!E$9+Belgium!E$5+'Czech Republic'!E$4+Denmark!E$8+Germany!E$8+Italy!E$8+Poland!E$6</f>
        <v>18109</v>
      </c>
      <c r="F13" s="35">
        <f>Austria!F$9+Belgium!F$5+'Czech Republic'!F$4+Denmark!F$8+Germany!F$8+Italy!F$8+Poland!F$6</f>
        <v>20044</v>
      </c>
      <c r="G13" s="35">
        <f>Austria!G$9+Belgium!G$5+'Czech Republic'!G$4+Denmark!G$8+Germany!G$8+Italy!G$8+Poland!G$6</f>
        <v>29388</v>
      </c>
      <c r="H13" s="35">
        <f>Austria!H$9+Belgium!H$5+'Czech Republic'!H$4+Denmark!H$8+Germany!H$8+Italy!H$8+Poland!H$6</f>
        <v>55249</v>
      </c>
      <c r="I13" s="35">
        <f>Austria!I$9+Belgium!I$5+'Czech Republic'!I$4+Denmark!I$8+Germany!I$8+Italy!I$8+Poland!I$6</f>
        <v>70734</v>
      </c>
      <c r="J13" s="35">
        <f>Austria!J$9+Belgium!J$5+'Czech Republic'!J$4+Denmark!J$8+Germany!J$8+Italy!J$8+Poland!J$6</f>
        <v>70171</v>
      </c>
      <c r="K13" s="35">
        <f>Austria!K$9+Belgium!K$5+'Czech Republic'!K$4+Denmark!K$8+Germany!K$8+Italy!K$8+Poland!K$6</f>
        <v>93968.3</v>
      </c>
      <c r="L13" s="35">
        <f>Austria!L$9+Belgium!L$5+'Czech Republic'!L$4+Denmark!L$8+Germany!L$8+Italy!L$8+Poland!L$6</f>
        <v>85803</v>
      </c>
      <c r="M13" s="35">
        <f>Austria!M$9+Belgium!M$5+'Czech Republic'!M$4+Denmark!M$8+Germany!M$8+Italy!M$8+Poland!M$6</f>
        <v>92277</v>
      </c>
      <c r="N13" s="35">
        <f>Austria!N$9+Belgium!N$5+'Czech Republic'!N$4+Denmark!N$8+Germany!N$8+Italy!N$8+Poland!N$6</f>
        <v>92520</v>
      </c>
      <c r="O13" s="35">
        <f>Austria!O$9+Belgium!O$5+'Czech Republic'!O$4+Denmark!O$8+Germany!O$8+Italy!O$8+Poland!O$6</f>
        <v>95030</v>
      </c>
      <c r="P13" s="35">
        <f>Austria!P$9+Belgium!P$5+'Czech Republic'!P$4+Denmark!P$8+Germany!P$8+Italy!P$8+Poland!P$6</f>
        <v>93911</v>
      </c>
      <c r="Q13" s="35">
        <f>Austria!Q$9+Belgium!Q$5+'Czech Republic'!Q$4+Denmark!Q$8+Germany!Q$8+Italy!Q$8+Poland!Q$6</f>
        <v>96483.07727813466</v>
      </c>
      <c r="R13" s="35">
        <f>Austria!R$9+Belgium!R$5+'Czech Republic'!R$4+Denmark!R$8+Germany!R$8+Italy!R$8+Poland!R$6</f>
        <v>89916.080603717404</v>
      </c>
      <c r="S13" s="35">
        <f>Austria!S$9+Belgium!S$5+'Czech Republic'!S$4+Denmark!S$8+Germany!S$8+Italy!S$8+Poland!S$6</f>
        <v>33143</v>
      </c>
      <c r="T13" s="65">
        <f>Austria!T$9+Belgium!T$5+'Czech Republic'!T$4+Denmark!T$8+Germany!T$8+Italy!T$8+Poland!T$6</f>
        <v>33238</v>
      </c>
    </row>
    <row r="14" spans="1:21" x14ac:dyDescent="0.25">
      <c r="A14" s="37" t="s">
        <v>3</v>
      </c>
      <c r="B14" s="44">
        <f t="shared" si="0"/>
        <v>-8.4780980486583335E-2</v>
      </c>
      <c r="C14" s="75">
        <f>E14-'[1]EU - variety'!E14</f>
        <v>-95989.771715485374</v>
      </c>
      <c r="D14" s="35">
        <f>F14-'[1]EU - variety'!F14</f>
        <v>-84263.112258782261</v>
      </c>
      <c r="E14" s="40">
        <f>Austria!E$10+Belgium!E$6+'Czech Republic'!E$5+France!E$12+Germany!E$9+Italy!E$9+Spain!E$4+Switzerland!E$8+Netherlands!E$4+Poland!E$7+Slovakia!C6</f>
        <v>938897.33875929459</v>
      </c>
      <c r="F14" s="35">
        <f>Austria!F$10+Belgium!F$6+'Czech Republic'!F$5+France!F$12+Germany!F$9+Italy!F$9+Spain!F$4+Switzerland!F$8+Netherlands!F$4+Poland!F$7+Slovakia!D6</f>
        <v>1025871.751723939</v>
      </c>
      <c r="G14" s="35">
        <f>Austria!G$10+Belgium!G$6+'Czech Republic'!G$5+France!G$12+Germany!G$9+Italy!G$9+Spain!G$4+Switzerland!G$8+Netherlands!G$4+Poland!G$7+Slovakia!F6</f>
        <v>845339.14957653638</v>
      </c>
      <c r="H14" s="35">
        <f>Austria!H$10+Belgium!H$6+'Czech Republic'!H$5+France!H$12+Germany!H$9+Italy!H$9+Spain!H$4+Switzerland!H$8+Netherlands!H$4+Poland!H$7+Slovakia!G6</f>
        <v>1058200.818518762</v>
      </c>
      <c r="I14" s="35">
        <f>Austria!I$10+Belgium!I$6+'Czech Republic'!I$5+France!I$12+Germany!I$9+Italy!I$9+Spain!I$4+Switzerland!I$8+Netherlands!I$4+Poland!I$7</f>
        <v>886087.84560853406</v>
      </c>
      <c r="J14" s="35">
        <f>Austria!J$10+Belgium!J$6+'Czech Republic'!J$5+France!J$12+Germany!J$9+Italy!J$9+Spain!J$4+Switzerland!J$8+Netherlands!J$4+Poland!J$7</f>
        <v>1059428.5498310828</v>
      </c>
      <c r="K14" s="35">
        <f>Austria!K$10+Belgium!K$6+'Czech Republic'!K$5+France!K$12+Germany!K$9+Italy!K$9+Spain!K$4+Switzerland!K$8+Netherlands!K$4+Poland!K$7</f>
        <v>1071514.1441757979</v>
      </c>
      <c r="L14" s="35">
        <f>Austria!L$10+Belgium!L$6+'Czech Republic'!L$5+France!L$12+Germany!L$9+Italy!L$9+Spain!L$4+Switzerland!L$8+Netherlands!L$4+Poland!L$7</f>
        <v>825776</v>
      </c>
      <c r="M14" s="35">
        <f>Austria!M$10+Belgium!M$6+'Czech Republic'!M$5+France!M$12+Germany!M$9+Italy!M$9+Spain!M$4+Switzerland!M$8+Netherlands!M$4+Poland!M$7</f>
        <v>1195541.089822867</v>
      </c>
      <c r="N14" s="35">
        <f>Austria!N$10+Belgium!N$6+'Czech Republic'!N$5+France!N$12+Germany!N$9+Italy!N$9+Spain!N$4+Switzerland!N$8+Netherlands!N$4+Poland!N$7</f>
        <v>1216359.9109924496</v>
      </c>
      <c r="O14" s="35">
        <f>Austria!O$10+Belgium!O$6+'Czech Republic'!O$5+France!O$12+Germany!O$9+Italy!O$9+Spain!O$4+Switzerland!O$8+Netherlands!O$4+Poland!O$7</f>
        <v>1277549</v>
      </c>
      <c r="P14" s="35">
        <f>Austria!P$10+Belgium!P$6+'Czech Republic'!P$5+France!P$12+Germany!P$9+Italy!P$9+Spain!P$4+Switzerland!P$8+Netherlands!P$4+Poland!P$7</f>
        <v>1165204.1933209936</v>
      </c>
      <c r="Q14" s="35">
        <f>Austria!Q$10+Belgium!Q$6+'Czech Republic'!Q$5+France!Q$12+Germany!Q$9+Italy!Q$9+Spain!Q$4+Switzerland!Q$8+Netherlands!Q$4+Poland!Q$7</f>
        <v>1028729.3973106921</v>
      </c>
      <c r="R14" s="35">
        <f>Austria!R$10+Belgium!R$6+'Czech Republic'!R$5+France!R$12+Germany!R$9+Italy!R$9+Spain!R$4+Switzerland!R$8+Netherlands!R$4+Poland!R$7</f>
        <v>1240570.0996930983</v>
      </c>
      <c r="S14" s="35">
        <f>Austria!S$10+Belgium!S$6+'Czech Republic'!S$5+France!S$12+Germany!S$9+Italy!S$9+Spain!S$4+Switzerland!S$8+Netherlands!S$4+Poland!S$7</f>
        <v>1152619.6856369125</v>
      </c>
      <c r="T14" s="65">
        <f>Austria!T$10+Belgium!T$6+'Czech Republic'!T$5+France!T$12+Germany!T$9+Italy!T$9+Spain!T$4+Switzerland!T$8+Netherlands!T$4+Poland!T$7</f>
        <v>1193615</v>
      </c>
    </row>
    <row r="15" spans="1:21" x14ac:dyDescent="0.25">
      <c r="A15" s="37" t="s">
        <v>17</v>
      </c>
      <c r="B15" s="44">
        <f t="shared" si="0"/>
        <v>0.23907153962629213</v>
      </c>
      <c r="C15" s="75">
        <f>E15-'[1]EU - variety'!E15</f>
        <v>-23423.326595616236</v>
      </c>
      <c r="D15" s="35">
        <f>F15-'[1]EU - variety'!F15</f>
        <v>-19465.678277632338</v>
      </c>
      <c r="E15" s="40">
        <f>Austria!E$11+France!E$14+Italy!E$10+Spain!E$5+Switzerland!E$9+Denmark!E$9</f>
        <v>178748.78379779204</v>
      </c>
      <c r="F15" s="35">
        <f>Austria!F$11+France!F$14+Italy!F$10+Spain!F$5+Switzerland!F$9+Denmark!F$9</f>
        <v>144260.26107556568</v>
      </c>
      <c r="G15" s="35">
        <f>Austria!G$11+France!G$14+Italy!G$10+Spain!G$5+Switzerland!G$9+Denmark!G$9</f>
        <v>180709.79316270899</v>
      </c>
      <c r="H15" s="35">
        <f>Austria!H$11+France!H$14+Italy!H$10+Spain!H$5+Switzerland!H$9+Denmark!H$9</f>
        <v>155949.32561916017</v>
      </c>
      <c r="I15" s="35">
        <f>Austria!I$11+France!I$14+Italy!I$10+Spain!I$5+Switzerland!I$9+Denmark!I$9</f>
        <v>178387.72200718723</v>
      </c>
      <c r="J15" s="35">
        <f>Austria!J$11+France!J$14+Italy!J$10+Spain!J$5+Switzerland!J$9+Denmark!J$9</f>
        <v>158067.05293633064</v>
      </c>
      <c r="K15" s="35">
        <f>Austria!K$11+France!K$14+Italy!K$10+Spain!K$5+Switzerland!K$9</f>
        <v>171939.93059515688</v>
      </c>
      <c r="L15" s="35">
        <f>Austria!L$11+France!L$14+Italy!L$10+Spain!L$5+Switzerland!L$9</f>
        <v>178816.50627755575</v>
      </c>
      <c r="M15" s="35">
        <f>Austria!M$11+France!M$14+Italy!M$10+Spain!M$5+Switzerland!M$9</f>
        <v>159526.50705898937</v>
      </c>
      <c r="N15" s="35">
        <f>Austria!N$11+France!N$14+Italy!N$10+Spain!N$5+Switzerland!N$9</f>
        <v>188204.61065331203</v>
      </c>
      <c r="O15" s="35">
        <f>Austria!O$11+France!O$14+Italy!O$10+Spain!O$5+Switzerland!O$9</f>
        <v>178790</v>
      </c>
      <c r="P15" s="35">
        <f>Austria!P$11+France!P$14+Italy!P$10+Spain!P$5+Switzerland!P$9</f>
        <v>178107.21477837046</v>
      </c>
      <c r="Q15" s="35">
        <f>Austria!Q$11+France!Q$14+Italy!Q$10+Spain!Q$5+Switzerland!Q$9</f>
        <v>113407.09213276173</v>
      </c>
      <c r="R15" s="35">
        <f>Austria!R$11+France!R$14+Italy!R$10+Spain!R$5+Switzerland!R$9</f>
        <v>153041.99173670815</v>
      </c>
      <c r="S15" s="35">
        <f>Austria!S$11+France!S$14+Italy!S$10+Spain!S$5+Switzerland!S$9</f>
        <v>141702.38072023078</v>
      </c>
      <c r="T15" s="65">
        <f>Austria!T$11+France!T$14+Italy!T$10+Spain!T$5+Switzerland!T$9</f>
        <v>146384</v>
      </c>
    </row>
    <row r="16" spans="1:21" x14ac:dyDescent="0.25">
      <c r="A16" s="37" t="s">
        <v>15</v>
      </c>
      <c r="B16" s="44">
        <f t="shared" si="0"/>
        <v>-0.35353535353535348</v>
      </c>
      <c r="C16" s="75">
        <f>E16-'[1]EU - variety'!E16</f>
        <v>-325</v>
      </c>
      <c r="D16" s="35">
        <f>F16-'[1]EU - variety'!F16</f>
        <v>-476</v>
      </c>
      <c r="E16" s="40">
        <f>Denmark!E$10+Germany!E$10</f>
        <v>256</v>
      </c>
      <c r="F16" s="35">
        <f>Denmark!F$10+Germany!F$10</f>
        <v>396</v>
      </c>
      <c r="G16" s="35">
        <f>Denmark!G$10+Germany!G$10</f>
        <v>2076</v>
      </c>
      <c r="H16" s="35">
        <f>Denmark!H$10+Germany!H$10</f>
        <v>987</v>
      </c>
      <c r="I16" s="35">
        <f>Denmark!I$10+Germany!I$10</f>
        <v>1257</v>
      </c>
      <c r="J16" s="35">
        <f>Denmark!J$10+Germany!J$10</f>
        <v>504</v>
      </c>
      <c r="K16" s="35">
        <f>Denmark!K$10+Germany!K$10</f>
        <v>2788</v>
      </c>
      <c r="L16" s="35">
        <f>Denmark!L$10+Germany!L$10</f>
        <v>258</v>
      </c>
      <c r="M16" s="35">
        <f>Denmark!M$10+Germany!M$10</f>
        <v>2906</v>
      </c>
      <c r="N16" s="35">
        <f>Denmark!N$10+Germany!N$10</f>
        <v>3812</v>
      </c>
      <c r="O16" s="35">
        <f>Denmark!O$10+Germany!O$10</f>
        <v>3271</v>
      </c>
      <c r="P16" s="35">
        <f>Denmark!P$10+Germany!P$10</f>
        <v>872</v>
      </c>
      <c r="Q16" s="35">
        <f>Denmark!Q$10+Germany!Q$10</f>
        <v>1192</v>
      </c>
      <c r="R16" s="35">
        <f>Denmark!R$10+Germany!R$10</f>
        <v>4011</v>
      </c>
      <c r="S16" s="35">
        <f>Denmark!S$10+Germany!S$10</f>
        <v>3071</v>
      </c>
      <c r="T16" s="65">
        <f>Denmark!T$10+Germany!T$10</f>
        <v>4819</v>
      </c>
    </row>
    <row r="17" spans="1:106" x14ac:dyDescent="0.25">
      <c r="A17" s="37" t="s">
        <v>10</v>
      </c>
      <c r="B17" s="44">
        <f t="shared" si="0"/>
        <v>-0.11912352196215081</v>
      </c>
      <c r="C17" s="75">
        <f>E17-'[1]EU - variety'!E17</f>
        <v>-15060.243091824406</v>
      </c>
      <c r="D17" s="35">
        <f>F17-'[1]EU - variety'!F17</f>
        <v>-20657.278548954549</v>
      </c>
      <c r="E17" s="40">
        <f>Austria!E$12+'Czech Republic'!E$6+Denmark!E$11+France!E$16+Germany!E$11+Italy!E$11+Switzerland!E$10+Poland!E$8+Slovakia!C7</f>
        <v>148204.18096357226</v>
      </c>
      <c r="F17" s="35">
        <f>Austria!F$12+'Czech Republic'!F$6+Denmark!F$11+France!F$16+Germany!F$11+Italy!F$11+Switzerland!F$10+Poland!F$8+Slovakia!D7</f>
        <v>168246.26909518213</v>
      </c>
      <c r="G17" s="35">
        <f>Austria!G$12+'Czech Republic'!G$6+Denmark!G$11+France!G$16+Germany!G$11+Italy!G$11+Switzerland!G$10+Poland!G$8+Slovakia!F7</f>
        <v>223940.59559261464</v>
      </c>
      <c r="H17" s="35">
        <f>Austria!H$12+'Czech Republic'!H$6+Denmark!H$11+France!H$16+Germany!H$11+Italy!H$11+Switzerland!H$10+Poland!H$8+Slovakia!G7</f>
        <v>277285.38841155451</v>
      </c>
      <c r="I17" s="35">
        <f>Austria!I$12+'Czech Republic'!I$6+Denmark!I$11+France!I$16+Germany!I$11+Italy!I$11+Switzerland!I$10+Poland!I$8</f>
        <v>250212.85</v>
      </c>
      <c r="J17" s="35">
        <f>Austria!J$12+'Czech Republic'!J$6+Denmark!J$11+France!J$16+Germany!J$11+Italy!J$11+Switzerland!J$10+Poland!J$8</f>
        <v>176001</v>
      </c>
      <c r="K17" s="35">
        <f>Austria!K$12+'Czech Republic'!K$6+Denmark!K$11+France!K$16+Germany!K$11+Italy!K$11+Switzerland!K$10+Poland!K$8</f>
        <v>343461.38</v>
      </c>
      <c r="L17" s="35">
        <f>Austria!L$12+'Czech Republic'!L$6+Denmark!L$11+France!L$16+Germany!L$11+Italy!L$11+Switzerland!L$10+Poland!L$8</f>
        <v>172539</v>
      </c>
      <c r="M17" s="35">
        <f>Austria!M$12+'Czech Republic'!M$6+Denmark!M$11+France!M$16+Germany!M$11+Italy!M$11+Switzerland!M$10+Poland!M$8</f>
        <v>340574.86</v>
      </c>
      <c r="N17" s="35">
        <f>Austria!N$12+'Czech Republic'!N$6+Denmark!N$11+France!N$16+Germany!N$11+Italy!N$11+Switzerland!N$10+Poland!N$8</f>
        <v>377330.92</v>
      </c>
      <c r="O17" s="35">
        <f>Austria!O$12+'Czech Republic'!O$6+Denmark!O$11+France!O$16+Germany!O$11+Italy!O$11+Switzerland!O$10+Poland!O$8</f>
        <v>359557</v>
      </c>
      <c r="P17" s="35">
        <f>Austria!P$12+'Czech Republic'!P$6+Denmark!P$11+France!P$16+Germany!P$11+Italy!P$11+Switzerland!P$10+Poland!P$8</f>
        <v>316155.88</v>
      </c>
      <c r="Q17" s="35">
        <f>Austria!Q$12+'Czech Republic'!Q$6+Denmark!Q$11+France!Q$16+Germany!Q$11+Italy!Q$11+Switzerland!Q$10+Poland!Q$8</f>
        <v>305096.42545800621</v>
      </c>
      <c r="R17" s="35">
        <f>Austria!R$12+'Czech Republic'!R$6+Denmark!R$11+France!R$16+Germany!R$11+Italy!R$11+Switzerland!R$10+Poland!R$8</f>
        <v>294359.9986489602</v>
      </c>
      <c r="S17" s="35">
        <f>Austria!S$12+'Czech Republic'!S$6+Denmark!S$11+France!S$16+Germany!S$11+Italy!S$11+Switzerland!S$10+Poland!S$8</f>
        <v>151788</v>
      </c>
      <c r="T17" s="65">
        <f>Austria!T$12+'Czech Republic'!T$6+Denmark!T$11+France!T$16+Germany!T$11+Italy!T$11+Switzerland!T$10+Poland!T$8</f>
        <v>187538</v>
      </c>
      <c r="U17" s="1"/>
    </row>
    <row r="18" spans="1:106" x14ac:dyDescent="0.25">
      <c r="A18" s="37" t="s">
        <v>27</v>
      </c>
      <c r="B18" s="44">
        <f t="shared" si="0"/>
        <v>-0.14947445167237683</v>
      </c>
      <c r="C18" s="75">
        <f>E18-'[1]EU - variety'!E18</f>
        <v>-26160.607945218508</v>
      </c>
      <c r="D18" s="35">
        <f>F18-'[1]EU - variety'!F18</f>
        <v>-34945.271588581934</v>
      </c>
      <c r="E18" s="40">
        <f>Austria!E$13+Belgium!E$7+'Czech Republic'!E$7+Denmark!E$13+France!E$18+Germany!E$13+Italy!E$12+Switzerland!E$11+Netherlands!E$5+UK!E$7+Poland!E$9+Slovakia!C8</f>
        <v>136604.11984160409</v>
      </c>
      <c r="F18" s="35">
        <f>Austria!F$13+Belgium!F$7+'Czech Republic'!F$7+Denmark!F$13+France!F$18+Germany!F$13+Italy!F$12+Switzerland!F$11+Netherlands!F$5+UK!F$7+Poland!F$9+Slovakia!D8</f>
        <v>160611.42444246021</v>
      </c>
      <c r="G18" s="35">
        <f>Austria!G$13+Belgium!G$7+'Czech Republic'!G$7+Denmark!G$13+France!G$18+Germany!G$13+Italy!G$12+Switzerland!G$11+Netherlands!G$5+UK!G$7+Poland!G$9+Slovakia!F8</f>
        <v>180652.34090040185</v>
      </c>
      <c r="H18" s="35">
        <f>Austria!H$13+Belgium!H$7+'Czech Republic'!H$7+Denmark!H$13+France!H$18+Germany!H$13+Italy!H$12+Switzerland!H$11+Netherlands!H$5+UK!H$7+Poland!H$9+Slovakia!G8</f>
        <v>235549.36822594312</v>
      </c>
      <c r="I18" s="35">
        <f>Austria!I$13+Belgium!I$7+'Czech Republic'!I$7+Denmark!I$13+France!I$18+Germany!I$13+Italy!I$12+Switzerland!I$11+Netherlands!I$5+UK!I$7+Poland!I$9</f>
        <v>203635.55</v>
      </c>
      <c r="J18" s="35">
        <f>Austria!J$13+Belgium!J$7+'Czech Republic'!J$7+Denmark!J$13+France!J$18+Germany!J$13+Italy!J$12+Switzerland!J$11+Netherlands!J$5+UK!J$7+Poland!J$9</f>
        <v>197565</v>
      </c>
      <c r="K18" s="35">
        <f>Austria!K$13+Belgium!K$7+'Czech Republic'!K$7+Denmark!K$13+France!K$18+Germany!K$13+Italy!K$12+Switzerland!K$11+Netherlands!K$5+UK!K$7+Poland!K$9</f>
        <v>265602.21999999997</v>
      </c>
      <c r="L18" s="35">
        <f>Austria!L$13+Belgium!L$7+'Czech Republic'!L$7+Denmark!L$13+France!L$18+Germany!L$13+Italy!L$12+Switzerland!L$11+Netherlands!L$5+UK!L$7+Poland!L$9</f>
        <v>121460</v>
      </c>
      <c r="M18" s="35">
        <f>Austria!M$13+Belgium!M$7+'Czech Republic'!M$7+Denmark!M$13+France!M$18+Germany!M$13+Italy!M$12+Switzerland!M$11+Netherlands!M$5+UK!M$7+Poland!M$9</f>
        <v>257922.48</v>
      </c>
      <c r="N18" s="35">
        <f>Austria!N$13+Belgium!N$7+'Czech Republic'!N$7+Denmark!N$13+France!N$18+Germany!N$13+Italy!N$12+Switzerland!N$11+Netherlands!N$5+UK!N$7+Poland!N$9</f>
        <v>295936.08999999997</v>
      </c>
      <c r="O18" s="35">
        <f>Austria!O$13+Belgium!O$7+'Czech Republic'!O$7+Denmark!O$13+France!O$18+Germany!O$13+Italy!O$12+Switzerland!O$11+Netherlands!O$5+UK!O$7+Poland!O$9</f>
        <v>311979</v>
      </c>
      <c r="P18" s="35">
        <f>Austria!P$13+Belgium!P$7+'Czech Republic'!P$7+Denmark!P$13+France!P$18+Germany!P$13+Italy!P$12+Switzerland!P$11+Netherlands!P$5+UK!P$7+Poland!P$9</f>
        <v>270749.83999999997</v>
      </c>
      <c r="Q18" s="35">
        <f>Austria!Q$13+Belgium!Q$7+'Czech Republic'!Q$7+Denmark!Q$13+France!Q$18+Germany!Q$13+Italy!Q$12+Switzerland!Q$11+Netherlands!Q$5+UK!Q$7+Poland!Q$9</f>
        <v>254458.50002379253</v>
      </c>
      <c r="R18" s="35">
        <f>Austria!R$13+Belgium!R$7+'Czech Republic'!R$7+Denmark!R$13+France!R$18+Germany!R$13+Italy!R$12+Switzerland!R$11+Netherlands!R$5+UK!R$7+Poland!R$9</f>
        <v>326888.52962393739</v>
      </c>
      <c r="S18" s="35">
        <f>Austria!S$13+Belgium!S$7+'Czech Republic'!S$7+Denmark!S$13+France!S$18+Germany!S$13+Italy!S$12+Switzerland!S$11+Netherlands!S$5+UK!S$7+Poland!S$9</f>
        <v>218126</v>
      </c>
      <c r="T18" s="65">
        <f>Austria!T$13+Belgium!T$7+'Czech Republic'!T$7+Denmark!T$13+France!T$18+Germany!T$13+Italy!T$12+Switzerland!T$11+Netherlands!T$5+UK!T$7+Poland!T$9</f>
        <v>362843</v>
      </c>
      <c r="U18" s="1"/>
    </row>
    <row r="19" spans="1:106" x14ac:dyDescent="0.25">
      <c r="A19" s="37" t="s">
        <v>26</v>
      </c>
      <c r="B19" s="44">
        <f t="shared" si="0"/>
        <v>-7.5756623465979001E-2</v>
      </c>
      <c r="C19" s="75">
        <f>E19-'[1]EU - variety'!E19</f>
        <v>-1693.9817610376958</v>
      </c>
      <c r="D19" s="35">
        <f>F19-'[1]EU - variety'!F19</f>
        <v>-5788.3773123024584</v>
      </c>
      <c r="E19" s="40">
        <f>Austria!E$14+Belgium!E$8+Denmark!E$14+Germany!E$14+UK!E$8</f>
        <v>26998.372719843359</v>
      </c>
      <c r="F19" s="35">
        <f>Austria!F$14+Belgium!F$8+Denmark!F$14+Germany!F$14+UK!F$8</f>
        <v>29211.323992484744</v>
      </c>
      <c r="G19" s="35">
        <f>Austria!G$14+Belgium!G$8+Denmark!G$14+Germany!G$14+UK!G$8</f>
        <v>36714.789080721923</v>
      </c>
      <c r="H19" s="35">
        <f>Austria!H$14+Belgium!H$8+Denmark!H$14+Germany!H$14+UK!H$8</f>
        <v>51176.477965117985</v>
      </c>
      <c r="I19" s="35">
        <f>Austria!I$14+Belgium!I$8+Denmark!I$14+Germany!I$14+UK!I$8</f>
        <v>42656</v>
      </c>
      <c r="J19" s="35">
        <f>Austria!J$14+Belgium!J$8+Denmark!J$14+Germany!J$14+UK!J$8</f>
        <v>65305</v>
      </c>
      <c r="K19" s="35">
        <f>Austria!K$14+Belgium!K$8+Denmark!K$14+Germany!K$14+UK!K$8</f>
        <v>90209</v>
      </c>
      <c r="L19" s="35">
        <f>Austria!L$14+Belgium!L$8+Denmark!L$14+Germany!L$14+UK!L$8</f>
        <v>29907</v>
      </c>
      <c r="M19" s="35">
        <f>Austria!M$14+Belgium!M$8+Denmark!M$14+Germany!M$14+UK!M$8</f>
        <v>90279.24</v>
      </c>
      <c r="N19" s="35">
        <f>Austria!N$14+Belgium!N$8+Denmark!N$14+Germany!N$14+UK!N$8</f>
        <v>96365.82</v>
      </c>
      <c r="O19" s="35">
        <f>Austria!O$14+Belgium!O$8+Denmark!O$14+Germany!O$14+UK!O$8</f>
        <v>127742</v>
      </c>
      <c r="P19" s="35">
        <f>Austria!P$14+Belgium!P$8+Denmark!P$14+Germany!P$14+UK!P$8</f>
        <v>84398.959999999992</v>
      </c>
      <c r="Q19" s="35">
        <f>Austria!Q$14+Belgium!Q$8+Denmark!Q$14+Germany!Q$14+UK!Q$8</f>
        <v>103559</v>
      </c>
      <c r="R19" s="35">
        <f>Austria!R$14+Belgium!R$8+Denmark!R$14+Germany!R$14+UK!R$8</f>
        <v>116457</v>
      </c>
      <c r="S19" s="35">
        <f>Austria!S$14+Belgium!S$8+Denmark!S$14+Germany!S$14+UK!S$8</f>
        <v>91859</v>
      </c>
      <c r="T19" s="65">
        <f>Austria!T$14+Belgium!T$8+Denmark!T$14+Germany!T$14+UK!T$8</f>
        <v>122121</v>
      </c>
    </row>
    <row r="20" spans="1:106" x14ac:dyDescent="0.25">
      <c r="A20" s="37" t="s">
        <v>50</v>
      </c>
      <c r="B20" s="44" t="str">
        <f t="shared" si="0"/>
        <v/>
      </c>
      <c r="C20" s="75">
        <f>E20-'[1]EU - variety'!E20</f>
        <v>0</v>
      </c>
      <c r="D20" s="35">
        <f>F20-'[1]EU - variety'!F20</f>
        <v>0</v>
      </c>
      <c r="E20" s="40">
        <f>Italy!E$13</f>
        <v>0</v>
      </c>
      <c r="F20" s="35">
        <f>Italy!F$13</f>
        <v>0</v>
      </c>
      <c r="G20" s="35">
        <f>Italy!G$13</f>
        <v>0</v>
      </c>
      <c r="H20" s="35">
        <f>Italy!H$13</f>
        <v>0</v>
      </c>
      <c r="I20" s="35">
        <f>Italy!I$13</f>
        <v>0</v>
      </c>
      <c r="J20" s="35">
        <f>Italy!J$13</f>
        <v>0</v>
      </c>
      <c r="K20" s="35">
        <f>Italy!K$13</f>
        <v>0</v>
      </c>
      <c r="L20" s="35">
        <f>Italy!L$13</f>
        <v>0</v>
      </c>
      <c r="M20" s="35">
        <f>Italy!M$13</f>
        <v>0</v>
      </c>
      <c r="N20" s="35">
        <f>Italy!N$13</f>
        <v>7</v>
      </c>
      <c r="O20" s="35">
        <f>Italy!O$13</f>
        <v>7</v>
      </c>
      <c r="P20" s="35">
        <f>Italy!P$13</f>
        <v>0</v>
      </c>
      <c r="Q20" s="35">
        <f>Italy!Q$13</f>
        <v>1.0026647632643351</v>
      </c>
      <c r="R20" s="35">
        <f>Italy!R$13+Poland!R$10</f>
        <v>115003.00690889006</v>
      </c>
      <c r="S20" s="35">
        <f>Italy!S$13+Poland!S$10</f>
        <v>0</v>
      </c>
      <c r="T20" s="65">
        <f>Italy!T$13+Poland!T$10</f>
        <v>10001</v>
      </c>
    </row>
    <row r="21" spans="1:106" x14ac:dyDescent="0.25">
      <c r="A21" s="37" t="s">
        <v>34</v>
      </c>
      <c r="B21" s="44" t="str">
        <f t="shared" si="0"/>
        <v/>
      </c>
      <c r="C21" s="75">
        <f>E21-'[1]EU - variety'!E21</f>
        <v>0</v>
      </c>
      <c r="D21" s="35">
        <f>F21-'[1]EU - variety'!F21</f>
        <v>0</v>
      </c>
      <c r="E21" s="40">
        <f>Poland!E$11</f>
        <v>0</v>
      </c>
      <c r="F21" s="35">
        <f>Poland!F$11</f>
        <v>0</v>
      </c>
      <c r="G21" s="35">
        <f>Poland!G$11</f>
        <v>0</v>
      </c>
      <c r="H21" s="35">
        <f>Poland!H$11</f>
        <v>0</v>
      </c>
      <c r="I21" s="35">
        <f>Poland!I$11</f>
        <v>0</v>
      </c>
      <c r="J21" s="35">
        <f>Poland!J$11</f>
        <v>0</v>
      </c>
      <c r="K21" s="35">
        <f>Poland!K$11</f>
        <v>0</v>
      </c>
      <c r="L21" s="35">
        <f>Poland!L$11</f>
        <v>0</v>
      </c>
      <c r="M21" s="35">
        <f>Poland!M$11</f>
        <v>0</v>
      </c>
      <c r="N21" s="35">
        <f>Poland!N$11</f>
        <v>0</v>
      </c>
      <c r="O21" s="35">
        <f>Poland!O$11</f>
        <v>500</v>
      </c>
      <c r="P21" s="35">
        <f>Poland!P$11</f>
        <v>1000</v>
      </c>
      <c r="Q21" s="35">
        <f>Poland!Q$11</f>
        <v>1000</v>
      </c>
      <c r="R21" s="35">
        <f>Poland!R$11</f>
        <v>5000</v>
      </c>
      <c r="S21" s="35">
        <f>Poland!S$11</f>
        <v>28000</v>
      </c>
      <c r="T21" s="65">
        <f>Poland!T$11</f>
        <v>62000</v>
      </c>
    </row>
    <row r="22" spans="1:106" x14ac:dyDescent="0.25">
      <c r="A22" s="37" t="s">
        <v>18</v>
      </c>
      <c r="B22" s="44">
        <f t="shared" si="0"/>
        <v>0.1779079255524989</v>
      </c>
      <c r="C22" s="75">
        <f>E22-'[1]EU - variety'!E22</f>
        <v>-3531.0485807728037</v>
      </c>
      <c r="D22" s="35">
        <f>F22-'[1]EU - variety'!F22</f>
        <v>-4405.2798382638648</v>
      </c>
      <c r="E22" s="40">
        <f>Italy!E$14</f>
        <v>11898.721934656242</v>
      </c>
      <c r="F22" s="35">
        <f>Italy!F$14</f>
        <v>10101.57218279615</v>
      </c>
      <c r="G22" s="35">
        <f>Italy!G$14</f>
        <v>12523.535785628979</v>
      </c>
      <c r="H22" s="35">
        <f>Italy!H$14</f>
        <v>14818.589000000002</v>
      </c>
      <c r="I22" s="35">
        <f>Italy!I$14</f>
        <v>19212.28</v>
      </c>
      <c r="J22" s="35">
        <f>Italy!J$14</f>
        <v>18978</v>
      </c>
      <c r="K22" s="35">
        <f>Italy!K$14</f>
        <v>21558.240000000002</v>
      </c>
      <c r="L22" s="35">
        <f>Italy!L$14</f>
        <v>14597.149137190176</v>
      </c>
      <c r="M22" s="35">
        <f>Italy!M$14</f>
        <v>19810.489999999998</v>
      </c>
      <c r="N22" s="35">
        <f>Italy!N$14</f>
        <v>21742.32</v>
      </c>
      <c r="O22" s="35">
        <f>Italy!O$14</f>
        <v>29166</v>
      </c>
      <c r="P22" s="35">
        <f>Italy!P$14</f>
        <v>22747</v>
      </c>
      <c r="Q22" s="35">
        <f>Italy!Q$14</f>
        <v>20793.261860575778</v>
      </c>
      <c r="R22" s="35">
        <f>Italy!R$14</f>
        <v>15360.292913404735</v>
      </c>
      <c r="S22" s="35">
        <f>Italy!S$14</f>
        <v>38884.509549032366</v>
      </c>
      <c r="T22" s="65">
        <f>Italy!T$14</f>
        <v>29032</v>
      </c>
    </row>
    <row r="23" spans="1:106" x14ac:dyDescent="0.25">
      <c r="A23" s="37" t="s">
        <v>13</v>
      </c>
      <c r="B23" s="44">
        <f t="shared" si="0"/>
        <v>-0.11531792996619838</v>
      </c>
      <c r="C23" s="75">
        <f>E23-'[1]EU - variety'!E23</f>
        <v>-12695.742755511252</v>
      </c>
      <c r="D23" s="35">
        <f>F23-'[1]EU - variety'!F23</f>
        <v>-8015.940952113262</v>
      </c>
      <c r="E23" s="40">
        <f>Austria!E$16+Denmark!E$16+Germany!E$15+Switzerland!E$14+Poland!E$12+Italy!E$15+Slovakia!C9</f>
        <v>86850.830411280855</v>
      </c>
      <c r="F23" s="35">
        <f>Austria!F$16+Denmark!F$16+Germany!F$15+Switzerland!F$14+Poland!F$12+Italy!F$15+Slovakia!D9</f>
        <v>98171.799059929501</v>
      </c>
      <c r="G23" s="35">
        <f>Austria!G$16+Denmark!G$16+Germany!G$15+Switzerland!G$14+Poland!G$12+Italy!G$15+Slovakia!F9</f>
        <v>95270.264592614665</v>
      </c>
      <c r="H23" s="35">
        <f>Austria!H$16+Denmark!H$16+Germany!H$15+Switzerland!H$14+Poland!H$12+Italy!H$15+Slovakia!G9</f>
        <v>83542.894782608681</v>
      </c>
      <c r="I23" s="35">
        <f>Austria!I$16+Denmark!I$16+Germany!I$15+Switzerland!I$14+Poland!I$12+Italy!I$15</f>
        <v>78933.350000000006</v>
      </c>
      <c r="J23" s="35">
        <f>Austria!J$16+Denmark!J$16+Germany!J$15+Switzerland!J$14+Poland!J$12+Italy!J$15</f>
        <v>50946</v>
      </c>
      <c r="K23" s="35">
        <f>Austria!K$16+Denmark!K$16+Germany!K$15+Switzerland!K$14+Poland!K$12+Italy!K$15</f>
        <v>75060.22</v>
      </c>
      <c r="L23" s="35">
        <f>Austria!L$16+Denmark!L$16+Germany!L$15+Switzerland!L$14+Poland!L$12</f>
        <v>22834</v>
      </c>
      <c r="M23" s="35">
        <f>Austria!M$16+Denmark!M$16+Germany!M$15+Switzerland!M$14+Poland!M$12</f>
        <v>28175.03</v>
      </c>
      <c r="N23" s="35">
        <f>Austria!N$16+Denmark!N$16+Germany!N$15+Switzerland!N$14+Poland!N$12</f>
        <v>29852.84</v>
      </c>
      <c r="O23" s="35">
        <f>Austria!O$16+Denmark!O$16+Germany!O$15+Switzerland!O$14+Poland!O$12</f>
        <v>31249</v>
      </c>
      <c r="P23" s="35">
        <f>Austria!P$16+Denmark!P$16+Germany!P$15+Switzerland!P$14+Poland!P$12</f>
        <v>29117.42</v>
      </c>
      <c r="Q23" s="35">
        <f>Austria!Q$16+Denmark!Q$16+Germany!Q$15+Switzerland!Q$14+Poland!Q$12</f>
        <v>16000</v>
      </c>
      <c r="R23" s="35">
        <f>Austria!R$16+Denmark!R$16+Germany!R$15+Switzerland!R$14</f>
        <v>14658</v>
      </c>
      <c r="S23" s="35">
        <f>Austria!S$16+Denmark!S$16+Germany!S$15+Switzerland!S$14</f>
        <v>12827</v>
      </c>
      <c r="T23" s="65">
        <f>Austria!T$16+Denmark!T$16+Germany!T$15+Switzerland!T$14</f>
        <v>15879</v>
      </c>
    </row>
    <row r="24" spans="1:106" x14ac:dyDescent="0.25">
      <c r="A24" s="37" t="s">
        <v>19</v>
      </c>
      <c r="B24" s="44">
        <f t="shared" si="0"/>
        <v>8.8792004767135557E-2</v>
      </c>
      <c r="C24" s="75">
        <f>E24-'[1]EU - variety'!E24</f>
        <v>-39096.611327058898</v>
      </c>
      <c r="D24" s="35">
        <f>F24-'[1]EU - variety'!F24</f>
        <v>-26889.756504586316</v>
      </c>
      <c r="E24" s="40">
        <f>'Czech Republic'!E$8+France!E$21+Italy!E$16+Spain!E$6+Poland!E$13</f>
        <v>164029.09904767084</v>
      </c>
      <c r="F24" s="35">
        <f>'Czech Republic'!F$8+France!F$21+Italy!F$16+Spain!F$6+Poland!F$13</f>
        <v>150652.37284025835</v>
      </c>
      <c r="G24" s="35">
        <f>'Czech Republic'!G$8+France!G$21+Italy!G$16+Spain!G$6+Poland!G$13</f>
        <v>209572.6416425799</v>
      </c>
      <c r="H24" s="35">
        <f>'Czech Republic'!H$8+France!H$21+Italy!H$16+Spain!H$6+Poland!H$13</f>
        <v>184843.37617155776</v>
      </c>
      <c r="I24" s="35">
        <f>'Czech Republic'!I$8+France!I$21+Italy!I$16+Spain!I$6+Poland!I$13</f>
        <v>197223.46924005664</v>
      </c>
      <c r="J24" s="35">
        <f>'Czech Republic'!J$8+France!J$21+Italy!J$16+Spain!J$6+Poland!J$13</f>
        <v>176409.02909592711</v>
      </c>
      <c r="K24" s="35">
        <f>'Czech Republic'!K$8+France!K$21+Italy!K$16+Spain!K$6+Poland!K$13</f>
        <v>211883.68158356438</v>
      </c>
      <c r="L24" s="35">
        <f>'Czech Republic'!L$8+France!L$21+Italy!L$16+Spain!L$6+Poland!L$13</f>
        <v>132370.948</v>
      </c>
      <c r="M24" s="35">
        <f>'Czech Republic'!M$8+France!M$21+Italy!M$16+Spain!M$6+Poland!M$13</f>
        <v>178867.61804809625</v>
      </c>
      <c r="N24" s="35">
        <f>'Czech Republic'!N$8+France!N$21+Italy!N$16+Spain!N$6+Poland!N$13</f>
        <v>183184.05098418135</v>
      </c>
      <c r="O24" s="35">
        <f>'Czech Republic'!O$8+France!O$19+Italy!O$16+Spain!O$6+Poland!O$13</f>
        <v>162672</v>
      </c>
      <c r="P24" s="35">
        <f>'Czech Republic'!P$8+France!P$19+Italy!P$16+Spain!P$6+Poland!P$13</f>
        <v>151678.30558986723</v>
      </c>
      <c r="Q24" s="35">
        <f>'Czech Republic'!Q$8+France!Q$19+Italy!Q$16+Spain!Q$6+Poland!Q$13</f>
        <v>111480.7477015693</v>
      </c>
      <c r="R24" s="35">
        <f>'Czech Republic'!R$8+France!R$19+Italy!R$16+Spain!R$6+Poland!R$12+Poland!R$13</f>
        <v>146297.56079439027</v>
      </c>
      <c r="S24" s="35">
        <f>'Czech Republic'!S$8+France!S$19+Italy!S$16+Spain!S$6+Poland!S$12+Poland!S$13</f>
        <v>160540.91429180597</v>
      </c>
      <c r="T24" s="65">
        <f>'Czech Republic'!T$8+France!T$19+Italy!T$16+Spain!T$6+Poland!T$12+Poland!T$13</f>
        <v>196813</v>
      </c>
    </row>
    <row r="25" spans="1:106" x14ac:dyDescent="0.25">
      <c r="A25" s="37" t="s">
        <v>134</v>
      </c>
      <c r="B25" s="44">
        <f t="shared" si="0"/>
        <v>-0.14772398275361065</v>
      </c>
      <c r="C25" s="75">
        <f>E25-'[1]EU - variety'!E25</f>
        <v>-12783.898799138813</v>
      </c>
      <c r="D25" s="35">
        <f>F25-'[1]EU - variety'!F25</f>
        <v>-19808.316858985694</v>
      </c>
      <c r="E25" s="40">
        <f>Germany!E$16+Austria!E$17+Poland!E$14</f>
        <v>190480.82256169213</v>
      </c>
      <c r="F25" s="35">
        <f>Germany!F$16+Austria!F$17+Poland!F$14</f>
        <v>223496.6357226792</v>
      </c>
      <c r="G25" s="35">
        <f>Germany!G$16+Austria!G$17+Poland!G$14</f>
        <v>306263.93984514591</v>
      </c>
      <c r="H25" s="35">
        <f>Germany!H$16+Austria!H$17+Poland!H$14</f>
        <v>248693.10780226326</v>
      </c>
      <c r="I25" s="35">
        <f>Germany!I$16+Austria!I$17+Poland!I$14</f>
        <v>205476</v>
      </c>
      <c r="J25" s="35">
        <f>Germany!J$16+Austria!J$17+Poland!J$14</f>
        <v>159391</v>
      </c>
      <c r="K25" s="35">
        <f>Germany!K$16+Austria!K$17+Poland!K$14</f>
        <v>139367.15</v>
      </c>
      <c r="L25" s="35">
        <f>Germany!L$16+Austria!L$17</f>
        <v>40627</v>
      </c>
      <c r="M25" s="35">
        <f>Germany!M$16</f>
        <v>57760</v>
      </c>
      <c r="N25" s="35">
        <f>Germany!N$16</f>
        <v>34212</v>
      </c>
      <c r="O25" s="35">
        <f>Germany!O$16</f>
        <v>40062</v>
      </c>
      <c r="P25" s="35">
        <f>Germany!P$16</f>
        <v>17831</v>
      </c>
      <c r="Q25" s="35">
        <f>Germany!Q$16</f>
        <v>27548</v>
      </c>
      <c r="R25" s="35">
        <f>Germany!R$16</f>
        <v>21401</v>
      </c>
      <c r="S25" s="35">
        <f>Germany!S$16</f>
        <v>15763</v>
      </c>
      <c r="T25" s="65">
        <f>Germany!T$16</f>
        <v>18185</v>
      </c>
    </row>
    <row r="26" spans="1:106" s="4" customFormat="1" ht="13.8" thickBot="1" x14ac:dyDescent="0.3">
      <c r="A26" s="37" t="s">
        <v>122</v>
      </c>
      <c r="B26" s="44">
        <f t="shared" si="0"/>
        <v>0.17991398641083878</v>
      </c>
      <c r="C26" s="75">
        <f>E26-'[1]EU - variety'!E26</f>
        <v>-6378.0190000000002</v>
      </c>
      <c r="D26" s="35">
        <f>F26-'[1]EU - variety'!F26</f>
        <v>-7817.3510000000024</v>
      </c>
      <c r="E26" s="40">
        <f>France!E$19+France!E$20+Italy!E$17+Switzerland!E$12</f>
        <v>34759.164000000004</v>
      </c>
      <c r="F26" s="35">
        <f>France!F$19+France!F$20+Italy!F$17+Switzerland!F$12</f>
        <v>29459.065999999999</v>
      </c>
      <c r="G26" s="35">
        <f>France!G$19+France!G$20+Italy!G$17+Switzerland!G$12</f>
        <v>36333</v>
      </c>
      <c r="H26" s="35">
        <f>France!H$19+France!H$20+Italy!H$17+Switzerland!H$12</f>
        <v>32794</v>
      </c>
      <c r="I26" s="35">
        <f>France!I$19+France!I$20+Italy!I$17+Switzerland!I$12</f>
        <v>37556.699999999997</v>
      </c>
      <c r="J26" s="35">
        <f>France!J$19+France!J$20+Italy!J$17+Switzerland!J$12</f>
        <v>28846</v>
      </c>
      <c r="K26" s="35">
        <f>France!K$19+France!K$20+Italy!K$17+Switzerland!K$12</f>
        <v>36544</v>
      </c>
      <c r="L26" s="35">
        <f>France!L$19+France!L$20+Italy!L$17+Switzerland!L$12</f>
        <v>17077.3</v>
      </c>
      <c r="M26" s="35">
        <f>France!M$19+France!M$20+Italy!M$17+Switzerland!M$12</f>
        <v>29129.8</v>
      </c>
      <c r="N26" s="35">
        <f>France!N$19+France!N$20+Italy!N$17+Switzerland!N$12</f>
        <v>29976.400000000001</v>
      </c>
      <c r="O26" s="35">
        <f>France!O$21+France!O$20+Italy!O$17+Switzerland!O$12</f>
        <v>42305</v>
      </c>
      <c r="P26" s="35">
        <f>France!P$21+France!P$20+Italy!P$17+Switzerland!P$12</f>
        <v>61281</v>
      </c>
      <c r="Q26" s="35">
        <f>France!Q$21+France!Q$20+Italy!Q$17+Switzerland!Q$12</f>
        <v>25448.797382821795</v>
      </c>
      <c r="R26" s="35">
        <f>France!R$21+France!R$20+Italy!R$17+Switzerland!R$12</f>
        <v>44941.484325920945</v>
      </c>
      <c r="S26" s="35">
        <f>France!S$21+France!S$20+Italy!S$17+Switzerland!S$12</f>
        <v>45441.143186956739</v>
      </c>
      <c r="T26" s="65">
        <f>France!T$21+France!T$20+Italy!T$17+Switzerland!T$12</f>
        <v>48215</v>
      </c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</row>
    <row r="27" spans="1:106" x14ac:dyDescent="0.25">
      <c r="A27" s="37" t="s">
        <v>89</v>
      </c>
      <c r="B27" s="44">
        <f t="shared" si="0"/>
        <v>-0.11588252130071997</v>
      </c>
      <c r="C27" s="75">
        <f>E27-'[1]EU - variety'!E27</f>
        <v>-10131</v>
      </c>
      <c r="D27" s="35">
        <f>F27-'[1]EU - variety'!F27</f>
        <v>-10420</v>
      </c>
      <c r="E27" s="40">
        <f>'Czech Republic'!E$9+Germany!E$17+Poland!E$15</f>
        <v>80315</v>
      </c>
      <c r="F27" s="35">
        <f>'Czech Republic'!F$9+Germany!F$17+Poland!F$15</f>
        <v>90842</v>
      </c>
      <c r="G27" s="35">
        <f>'Czech Republic'!G$9+Germany!G$17+Poland!G$15</f>
        <v>101804</v>
      </c>
      <c r="H27" s="35">
        <f>'Czech Republic'!H$9+Germany!H$17+Poland!H$15</f>
        <v>123415</v>
      </c>
      <c r="I27" s="35">
        <f>'Czech Republic'!I$9+Germany!I$17+Poland!I$15</f>
        <v>142035</v>
      </c>
      <c r="J27" s="35">
        <f>'Czech Republic'!J$9+Germany!J$17+Poland!J$15</f>
        <v>110892</v>
      </c>
      <c r="K27" s="35">
        <f>'Czech Republic'!K$9+Germany!K$17+Poland!K$15</f>
        <v>203368</v>
      </c>
      <c r="L27" s="35">
        <f>'Czech Republic'!L$9+Germany!L$17+Poland!L$15</f>
        <v>142746</v>
      </c>
      <c r="M27" s="35">
        <f>'Czech Republic'!M$9+Germany!M$17+Poland!M$15</f>
        <v>175418</v>
      </c>
      <c r="N27" s="35">
        <f>'Czech Republic'!N$9+Germany!N$17+Poland!N$15</f>
        <v>184601</v>
      </c>
      <c r="O27" s="35">
        <f>'Czech Republic'!O$9+Germany!O$17+Poland!O$15</f>
        <v>184422</v>
      </c>
      <c r="P27" s="35">
        <f>'Czech Republic'!P$9+Germany!P$17+Poland!P$15</f>
        <v>171728</v>
      </c>
      <c r="Q27" s="35">
        <f>'Czech Republic'!Q$9+Germany!Q$17+Poland!Q$15</f>
        <v>154592</v>
      </c>
      <c r="R27" s="35">
        <f>'Czech Republic'!R$9+Germany!R$17+Poland!R$15</f>
        <v>148764</v>
      </c>
      <c r="S27" s="35">
        <f>'Czech Republic'!S$9+Germany!S$17+Poland!S$15</f>
        <v>67687</v>
      </c>
      <c r="T27" s="65">
        <f>'Czech Republic'!T$9+Germany!T$17+Poland!T$15</f>
        <v>88879</v>
      </c>
    </row>
    <row r="28" spans="1:106" x14ac:dyDescent="0.25">
      <c r="A28" s="37" t="s">
        <v>21</v>
      </c>
      <c r="B28" s="44" t="str">
        <f t="shared" si="0"/>
        <v/>
      </c>
      <c r="C28" s="75">
        <f>E28-'[1]EU - variety'!E28</f>
        <v>0</v>
      </c>
      <c r="D28" s="35">
        <f>F28-'[1]EU - variety'!F28</f>
        <v>0</v>
      </c>
      <c r="E28" s="40">
        <f>Italy!E$18</f>
        <v>0</v>
      </c>
      <c r="F28" s="35">
        <f>Italy!F$18</f>
        <v>0</v>
      </c>
      <c r="G28" s="35">
        <f>Italy!G$18</f>
        <v>0</v>
      </c>
      <c r="H28" s="35">
        <f>Italy!H$18</f>
        <v>0</v>
      </c>
      <c r="I28" s="35">
        <f>Italy!I$18</f>
        <v>0</v>
      </c>
      <c r="J28" s="35">
        <f>Italy!J$18</f>
        <v>0</v>
      </c>
      <c r="K28" s="35">
        <f>Italy!K$18</f>
        <v>3611</v>
      </c>
      <c r="L28" s="35">
        <f>Italy!L$18</f>
        <v>3471.1711908091065</v>
      </c>
      <c r="M28" s="35">
        <f>Italy!M$18</f>
        <v>8110.2</v>
      </c>
      <c r="N28" s="35">
        <f>Italy!N$18</f>
        <v>7926.9</v>
      </c>
      <c r="O28" s="35">
        <f>Italy!O$18</f>
        <v>9723</v>
      </c>
      <c r="P28" s="35">
        <f>Italy!P$18</f>
        <v>6733</v>
      </c>
      <c r="Q28" s="35">
        <f>Italy!Q$18</f>
        <v>2716.2188436830834</v>
      </c>
      <c r="R28" s="35">
        <f>Italy!R$18</f>
        <v>7726.7535444983432</v>
      </c>
      <c r="S28" s="35">
        <f>Italy!S$18</f>
        <v>0</v>
      </c>
      <c r="T28" s="65">
        <f>Italy!T$18</f>
        <v>5429</v>
      </c>
    </row>
    <row r="29" spans="1:106" x14ac:dyDescent="0.25">
      <c r="A29" s="37" t="s">
        <v>35</v>
      </c>
      <c r="B29" s="44" t="str">
        <f t="shared" si="0"/>
        <v/>
      </c>
      <c r="C29" s="75">
        <f>E29-'[1]EU - variety'!E29</f>
        <v>0</v>
      </c>
      <c r="D29" s="35">
        <f>F29-'[1]EU - variety'!F29</f>
        <v>0</v>
      </c>
      <c r="E29" s="40">
        <f>'Czech Republic'!E$10+UK!E$9+Poland!E$16+Denmark!E$17</f>
        <v>0</v>
      </c>
      <c r="F29" s="35">
        <f>'Czech Republic'!F$10+UK!F$9+Poland!F$16+Denmark!F$17</f>
        <v>0</v>
      </c>
      <c r="G29" s="35">
        <f>'Czech Republic'!G$10+UK!G$9+Poland!G$16+Denmark!G$17</f>
        <v>0</v>
      </c>
      <c r="H29" s="35">
        <f>'Czech Republic'!H$10+UK!H$9+Poland!H$16+Denmark!H$17</f>
        <v>2</v>
      </c>
      <c r="I29" s="35">
        <f>'Czech Republic'!I$10+UK!I$9+Poland!I$16+Denmark!I$17</f>
        <v>523</v>
      </c>
      <c r="J29" s="35">
        <f>'Czech Republic'!J$10+UK!J$9+Poland!J$16+Denmark!J$17</f>
        <v>183</v>
      </c>
      <c r="K29" s="35">
        <f>'Czech Republic'!K$10+UK!K$9+Poland!K$16+Denmark!K$17</f>
        <v>162</v>
      </c>
      <c r="L29" s="35">
        <f>'Czech Republic'!L$10+UK!L$9+Poland!L$16+Denmark!L$17</f>
        <v>32</v>
      </c>
      <c r="M29" s="35">
        <f>'Czech Republic'!M$10+UK!M$9+Poland!M$16+Denmark!M$17</f>
        <v>24</v>
      </c>
      <c r="N29" s="35">
        <f>'Czech Republic'!N$10+UK!N$9+Poland!N$16+Denmark!N$17</f>
        <v>58</v>
      </c>
      <c r="O29" s="35">
        <f>'Czech Republic'!O$10+UK!O$9+Poland!O$16+Denmark!O$17</f>
        <v>103</v>
      </c>
      <c r="P29" s="35">
        <f>'Czech Republic'!P$10+UK!P$9+Poland!P$16+Denmark!P$17</f>
        <v>25</v>
      </c>
      <c r="Q29" s="35">
        <f>'Czech Republic'!Q$10+UK!Q$9+Poland!Q$16+Denmark!Q$17</f>
        <v>277</v>
      </c>
      <c r="R29" s="35">
        <f>'Czech Republic'!R$10+UK!R$9+Poland!R$16+Denmark!R$17</f>
        <v>47</v>
      </c>
      <c r="S29" s="35">
        <f>'Czech Republic'!S$10+UK!S$9+Poland!S$16+Denmark!S$17</f>
        <v>88</v>
      </c>
      <c r="T29" s="65">
        <f>'Czech Republic'!T$10+UK!T$9+Poland!T$16+Denmark!T$17</f>
        <v>5116</v>
      </c>
    </row>
    <row r="30" spans="1:106" x14ac:dyDescent="0.25">
      <c r="A30" s="37" t="s">
        <v>123</v>
      </c>
      <c r="B30" s="44">
        <f t="shared" si="0"/>
        <v>-6.3567134431784744E-2</v>
      </c>
      <c r="C30" s="75">
        <f>E30-'[1]EU - variety'!E30</f>
        <v>-5783.3883746760403</v>
      </c>
      <c r="D30" s="35">
        <f>F30-'[1]EU - variety'!F30</f>
        <v>-1283.9707515734917</v>
      </c>
      <c r="E30" s="40">
        <f>Austria!E$6+Denmark!E$18+France!E$2+France!E$24+France!E$17+France!E$15+France!E$13+Switzerland!E$17+UK!E$10+Germany!E$19+Netherlands!E$6</f>
        <v>111848.35135135136</v>
      </c>
      <c r="F30" s="35">
        <f>Austria!F$6+Denmark!F$18+France!F$2+France!F$24+France!F$17+France!F$15+France!F$13+Switzerland!F$17+UK!F$10+Germany!F$19+Netherlands!F$6</f>
        <v>119440.86486486487</v>
      </c>
      <c r="G30" s="35">
        <f>Austria!G$6+Denmark!G$18+France!G$2+France!G$24+France!G$17+France!G$15+France!G$13+Switzerland!G$17+UK!G$10+Germany!G$19+Netherlands!G$6</f>
        <v>141398.46575342465</v>
      </c>
      <c r="H30" s="35">
        <f>Austria!H$6+Denmark!H$18+France!H$2+France!H$24+France!H$17+France!H$15+France!H$13+Switzerland!H$17+UK!H$10+Germany!H$19+Netherlands!H$6</f>
        <v>140887.61643835617</v>
      </c>
      <c r="I30" s="35">
        <f>Austria!I$6+Denmark!I$18+France!I$2+France!I$24+France!I$17+France!I$15+France!I$13+Switzerland!I$17+UK!I$10+Germany!I$19+Netherlands!I$6</f>
        <v>138184.85</v>
      </c>
      <c r="J30" s="35">
        <f>Austria!J$6+Denmark!J$18+France!J$2+France!J$24+France!J$17+France!J$15+France!J$13+Switzerland!J$17+UK!J$10+Germany!J$19+Netherlands!J$6</f>
        <v>128597</v>
      </c>
      <c r="K30" s="35">
        <f>Austria!K$6+Denmark!K$18+France!K$2+France!K$24+France!K$17+France!K$15+France!K$13+Switzerland!K$17+UK!K$10+Germany!K$19+Netherlands!K$6</f>
        <v>132251.26</v>
      </c>
      <c r="L30" s="35">
        <f>Austria!L$6+Denmark!L$18+France!L$2+France!L$24+France!L$17+France!L$15+France!L$13+Switzerland!L$17+UK!L$10+Germany!L$19+Netherlands!L$6</f>
        <v>91286</v>
      </c>
      <c r="M30" s="35">
        <f>Austria!M$6+Denmark!M$18+France!M$2+France!M$24+France!M$17+France!M$15+France!M$13+Switzerland!M$17+UK!M$10+Germany!M$19+Netherlands!M$6</f>
        <v>102952.1</v>
      </c>
      <c r="N30" s="35">
        <f>Austria!N$6+Denmark!N$18+France!N$2+France!N$24+France!N$17+France!N$15+France!N$13+Switzerland!N$17+UK!N$10+Germany!N$19+Netherlands!N$6</f>
        <v>107034.98999999999</v>
      </c>
      <c r="O30" s="35">
        <f>Austria!O$6+Denmark!O$18+France!O$2+France!O$24+France!O$17+France!O$15+France!O$13+Switzerland!O$17+UK!O$10+Germany!O$19+Netherlands!O$6</f>
        <v>113516</v>
      </c>
      <c r="P30" s="35">
        <f>Austria!P$6+Denmark!P$18+France!P$2+France!P$24+France!P$17+France!P$15+France!P$13+Switzerland!P$17+UK!P$10+Germany!P$19+Netherlands!P$6</f>
        <v>104130.25</v>
      </c>
      <c r="Q30" s="35">
        <f>Austria!Q$6+Denmark!Q$18+France!Q$2+France!Q$24+France!Q$17+France!Q$15+France!Q$13+Switzerland!Q$17+UK!Q$10+Germany!Q$19+Netherlands!Q$6</f>
        <v>58521</v>
      </c>
      <c r="R30" s="35">
        <f>Austria!R$6+Denmark!R$18+France!R$2+France!R$24+France!R$17+France!R$15+France!R$13+Switzerland!R$17+UK!R$10+Germany!R$19+Netherlands!R$6</f>
        <v>66328</v>
      </c>
      <c r="S30" s="35">
        <f>Austria!S$6+Denmark!S$18+France!S$2+France!S$24+France!S$17+France!S$15+France!S$13+Switzerland!S$17+UK!S$10+Germany!S$19</f>
        <v>51050</v>
      </c>
      <c r="T30" s="65">
        <f>Austria!T$6+Denmark!T$18+France!T$2+France!T$24+France!T$17+France!T$15+France!T$13+Switzerland!T$17+UK!T$10+Germany!T$19</f>
        <v>46223</v>
      </c>
    </row>
    <row r="31" spans="1:106" ht="13.8" thickBot="1" x14ac:dyDescent="0.3">
      <c r="A31" s="38" t="s">
        <v>6</v>
      </c>
      <c r="B31" s="45">
        <f t="shared" si="0"/>
        <v>-2.2682881295606916E-2</v>
      </c>
      <c r="C31" s="76">
        <f>E31-'[1]EU - variety'!E31</f>
        <v>-98005.099433911033</v>
      </c>
      <c r="D31" s="34">
        <f>F31-'[1]EU - variety'!F31</f>
        <v>-76682.129401220824</v>
      </c>
      <c r="E31" s="41">
        <f>Austria!E$2+Austria!E$15+Austria!E$18+Austria!E$19+Austria!E$20+Belgium!E$9+'Czech Republic'!E$11+Denmark!E$3+Denmark!E$15+Denmark!E$12+Denmark!E$19+Germany!E$12+Germany!E$18+Germany!E$20+Italy!E$19+Spain!E$7+Switzerland!E$7+Switzerland!E$13+Switzerland!E$15+Switzerland!E$16+Switzerland!E$18+Netherlands!E$7+UK!E$11+France!E$3+France!E$7+France!E$22+France!E$23+France!E$25+Poland!E$10+Poland!E$17+Slovakia!C10</f>
        <v>558343.06687108381</v>
      </c>
      <c r="F31" s="34">
        <f>Austria!F$2+Austria!F$15+Austria!F$18+Austria!F$19+Austria!F$20+Belgium!F$9+'Czech Republic'!F$11+Denmark!F$3+Denmark!F$15+Denmark!F$12+Denmark!F$19+Germany!F$12+Germany!F$18+Germany!F$20+Italy!F$19+Spain!F$7+Switzerland!F$7+Switzerland!F$13+Switzerland!F$15+Switzerland!F$16+Switzerland!F$18+Netherlands!F$7+UK!F$11+France!F$3+France!F$7+France!F$22+France!F$23+France!F$25+Poland!F$10+Poland!F$17+Slovakia!D10</f>
        <v>571301.83866140235</v>
      </c>
      <c r="G31" s="34">
        <f>Austria!G$2+Austria!G$15+Austria!G$18+Austria!G$19+Austria!G$20+Belgium!G$9+'Czech Republic'!G$11+Denmark!G$3+Denmark!G$15+Denmark!G$12+Denmark!G$19+Germany!G$12+Germany!G$18+Germany!G$20+Italy!G$19+Spain!G$7+Switzerland!G$7+Switzerland!G$13+Switzerland!G$15+Switzerland!G$16+Switzerland!G$18+Netherlands!G$7+UK!G$11+France!G$3+France!G$7+France!G$22+France!G$23+France!G$25+Poland!G$10+Poland!G$17+Slovakia!F10</f>
        <v>516839.72069622728</v>
      </c>
      <c r="H31" s="34">
        <f>Austria!H$2+Austria!H$15+Austria!H$18+Austria!H$19+Austria!H$20+Belgium!H$9+'Czech Republic'!H$11+Denmark!H$3+Denmark!H$15+Denmark!H$12+Denmark!H$19+Germany!H$12+Germany!H$18+Germany!H$20+Italy!H$19+Spain!H$7+Switzerland!H$7+Switzerland!H$13+Switzerland!H$15+Switzerland!H$16+Switzerland!H$18+Netherlands!H$7+UK!H$11+France!H$3+France!H$7+France!H$22+France!H$23+France!H$25+Poland!H$10+Poland!H$17+Slovakia!G10</f>
        <v>499889.12958904111</v>
      </c>
      <c r="I31" s="34">
        <f>Austria!I$2+Austria!I$15+Austria!I$18+Austria!I$19+Austria!I$20+Belgium!I$9+'Czech Republic'!I$11+Denmark!I$3+Denmark!I$15+Denmark!I$12+Denmark!I$19+Germany!I$12+Germany!I$18+Germany!I$20+Italy!I$19+Spain!I$7+Switzerland!I$7+Switzerland!I$13+Switzerland!I$15+Switzerland!I$16+Switzerland!I$18+Netherlands!I$7+UK!I$11+France!I$3+France!I$7+France!I$22+France!I$23+France!I$25+Poland!I$10+Poland!I$17</f>
        <v>576236.18999999994</v>
      </c>
      <c r="J31" s="34">
        <f>Austria!J$2+Austria!J$15+Austria!J$18+Austria!J$19+Austria!J$20+Belgium!J$9+'Czech Republic'!J$11+Denmark!J$3+Denmark!J$15+Denmark!J$12+Denmark!J$19+Germany!J$12+Germany!J$18+Germany!J$20+Italy!J$19+Spain!J$7+Switzerland!J$7+Switzerland!J$13+Switzerland!J$15+Switzerland!J$16+Switzerland!J$18+Netherlands!J$7+UK!J$11+France!J$3+France!J$7+France!J$22+France!J$23+France!J$25+Poland!J$10+Poland!J$17</f>
        <v>321549.33999999997</v>
      </c>
      <c r="K31" s="34">
        <f>Austria!K$2+Austria!K$15+Austria!K$18+Austria!K$19+Austria!K$20+Belgium!K$9+'Czech Republic'!K$11+Denmark!K$3+Denmark!K$15+Denmark!K$12+Denmark!K$19+Germany!K$12+Germany!K$18+Germany!K$20+Italy!K$19+Spain!K$7+Switzerland!K$7+Switzerland!K$13+Switzerland!K$15+Switzerland!K$16+Switzerland!K$18+Netherlands!K$7+UK!K$11+France!K$3+France!K$7+France!K$22+France!K$23+France!K$25+Poland!K$10+Poland!K$17</f>
        <v>573493.29</v>
      </c>
      <c r="L31" s="34">
        <f>Austria!L$2+Austria!L$15+Austria!L$18+Austria!L$19+Austria!L$20+Belgium!L$9+'Czech Republic'!L$11+Denmark!L$3+Denmark!L$15+Denmark!L$12+Denmark!L$19+Germany!L$12+Germany!L$18+Germany!L$20+Italy!L$19+Spain!L$7+Switzerland!L$7+Switzerland!L$13+Switzerland!L$15+Switzerland!L$16+Switzerland!L$18+Netherlands!L$7+UK!L$11+France!L$3+France!L$7+France!L$22+France!L$23+France!L$25+Poland!L$10+Poland!L$17</f>
        <v>317347.81250683614</v>
      </c>
      <c r="M31" s="34">
        <f>Austria!M$2+Austria!M$15+Austria!M$18+Austria!M$19+Austria!M$20+Belgium!M$9+'Czech Republic'!M$11+Denmark!M$3+Denmark!M$15+Denmark!M$12+Denmark!M$19+Germany!M$12+Germany!M$18+Germany!M$20+Italy!M$19+Spain!M$7+Switzerland!M$7+Switzerland!M$13+Switzerland!M$15+Switzerland!M$16+Switzerland!M$18+Netherlands!M$7+UK!M$11+France!M$3+France!M$7+France!M$22+France!M$23+France!M$25+Poland!M$10+Poland!M$17</f>
        <v>463751.27</v>
      </c>
      <c r="N31" s="34">
        <f>Austria!N$2+Austria!N$15+Austria!N$18+Austria!N$19+Austria!N$20+Belgium!N$9+'Czech Republic'!N$11+Denmark!N$3+Denmark!N$15+Denmark!N$12+Denmark!N$19+Germany!N$12+Germany!N$18+Germany!N$20+Italy!N$19+Spain!N$7+Switzerland!N$7+Switzerland!N$13+Switzerland!N$15+Switzerland!N$16+Switzerland!N$18+Netherlands!N$7+UK!N$11+France!N$3+France!N$7+France!N$22+France!N$23+France!N$25+Poland!N$10+Poland!N$17</f>
        <v>504360.63</v>
      </c>
      <c r="O31" s="34">
        <f>Austria!O$2+Austria!O$15+Austria!O$18+Austria!O$19+Austria!O$20+Belgium!O$9+'Czech Republic'!O$11+Denmark!O$3+Denmark!O$15+Denmark!O$12+Denmark!O$19+Germany!O$12+Germany!O$18+Germany!O$20+Italy!O$19+Spain!O$7+Switzerland!O$7+Switzerland!O$13+Switzerland!O$15+Switzerland!O$16+Switzerland!O$18+Netherlands!O$7+UK!O$11+France!O$3+France!O$7+France!O$22+France!O$23+France!O$25+Poland!O$10+Poland!O$17</f>
        <v>489375</v>
      </c>
      <c r="P31" s="34">
        <f>Austria!P$2+Austria!P$6+Austria!P$15+Austria!P$18+Austria!P$19+Austria!P$20+Belgium!P$9+'Czech Republic'!P$11+Denmark!P$3+Denmark!P$15+Denmark!P$12+Denmark!P$19+Germany!P$12+Germany!P$18+Germany!P$20+Italy!P$19+Spain!P$7+Switzerland!P$7+Switzerland!P$13+Switzerland!P$15+Switzerland!P$16+Switzerland!P$18+Netherlands!P$7+UK!P$11+France!P$3+France!P$7+France!P$22+France!P$23+France!P$25+Poland!P$10+Poland!P$17</f>
        <v>371305.73499999999</v>
      </c>
      <c r="Q31" s="34">
        <f>Austria!Q$2+Austria!Q$15+Austria!Q$18+Austria!Q$19+Austria!Q$20+Belgium!Q$9+'Czech Republic'!Q$11+Denmark!Q$3+Denmark!Q$15+Denmark!Q$12+Denmark!Q$19+Germany!Q$12+Germany!Q$18+Germany!Q$20+Italy!Q$19+Spain!Q$7+Switzerland!Q$7+Switzerland!Q$13+Switzerland!Q$15+Switzerland!Q$16+Switzerland!Q$18+Netherlands!Q$7+UK!Q$11+France!Q$3+France!Q$7+France!Q$22+France!Q$23+France!Q$25+Poland!Q$10+Poland!Q$17</f>
        <v>381682.87922674278</v>
      </c>
      <c r="R31" s="34">
        <f>Austria!R$2+Austria!R$15+Austria!R$18+Austria!R$19+Austria!R$20+Belgium!R$9+'Czech Republic'!R$11+Denmark!R$3+Denmark!R$15+Denmark!R$12+Denmark!R$19+Germany!R$12+Germany!R$18+Germany!R$20+Italy!R$19+Spain!R$7+Switzerland!R$7+Switzerland!R$13+Switzerland!R$15+Switzerland!R$16+Switzerland!R$18+Netherlands!R$7+UK!R$11+France!R$3+France!R$7+France!R$22+France!R$23+France!R$25+Poland!R$17</f>
        <v>260064.57225637577</v>
      </c>
      <c r="S31" s="34">
        <f>Austria!S$2+Austria!S$15+Austria!S$18+Austria!S$19+Austria!S$20+Belgium!S$9+'Czech Republic'!S$11+Denmark!S$3+Denmark!S$15+Denmark!S$12+Denmark!S$19+Germany!S$12+Germany!S$18+Germany!S$20+Italy!S$19+Spain!S$7+Switzerland!S$7+Switzerland!S$13+Switzerland!S$15+Switzerland!S$16+Switzerland!S$18+Netherlands!S$7+UK!S$11+France!S$3+France!S$7+France!S$22+France!S$23+France!S$25+Poland!S$17</f>
        <v>180595.27509455156</v>
      </c>
      <c r="T31" s="66">
        <f>Austria!T$2+Austria!T$15+Austria!T$18+Austria!T$19+Austria!T$20+Belgium!T$9+'Czech Republic'!T$11+Denmark!T$3+Denmark!T$15+Denmark!T$12+Denmark!T$19+Germany!T$12+Germany!T$18+Germany!T$20+Italy!T$19+Spain!T$7+Switzerland!T$7+Switzerland!T$13+Switzerland!T$15+Switzerland!T$16+Switzerland!T$18+Netherlands!T$7+UK!T$11+France!T$3+France!T$7+France!T$22+France!T$23+France!T$25+Poland!T$17</f>
        <v>224700</v>
      </c>
      <c r="V31" s="3"/>
    </row>
    <row r="32" spans="1:106" ht="13.8" thickBot="1" x14ac:dyDescent="0.3">
      <c r="A32" s="39" t="s">
        <v>92</v>
      </c>
      <c r="B32" s="78">
        <f t="shared" si="0"/>
        <v>-4.258471848896872E-2</v>
      </c>
      <c r="C32" s="49">
        <f>E32-'[1]EU - variety'!E32</f>
        <v>-573452.25732735917</v>
      </c>
      <c r="D32" s="30">
        <f>F32-'[1]EU - variety'!F32</f>
        <v>-440602.02866865229</v>
      </c>
      <c r="E32" s="102">
        <f>SUM(E2:E31)</f>
        <v>3687100.2812155979</v>
      </c>
      <c r="F32" s="30">
        <f>SUM(F2:F31)</f>
        <v>3851098.2145558279</v>
      </c>
      <c r="G32" s="30">
        <f>SUM(G2:G31)</f>
        <v>4035178.0181782488</v>
      </c>
      <c r="H32" s="30">
        <f>SUM(H2:H31)</f>
        <v>4311604.2212812807</v>
      </c>
      <c r="I32" s="30">
        <f t="shared" ref="I32:N32" si="1">SUM(I2:I31)</f>
        <v>4092631.4808405633</v>
      </c>
      <c r="J32" s="30">
        <f t="shared" si="1"/>
        <v>3830647.748485636</v>
      </c>
      <c r="K32" s="30">
        <f t="shared" si="1"/>
        <v>4597875.5898672231</v>
      </c>
      <c r="L32" s="30">
        <f t="shared" si="1"/>
        <v>3032959.5899827257</v>
      </c>
      <c r="M32" s="43">
        <f t="shared" si="1"/>
        <v>4182989.8077449617</v>
      </c>
      <c r="N32" s="43">
        <f t="shared" si="1"/>
        <v>4406485.9694250161</v>
      </c>
      <c r="O32" s="43">
        <f t="shared" ref="O32:T32" si="2">SUM(O2:O31)</f>
        <v>4496172.4123861119</v>
      </c>
      <c r="P32" s="43">
        <f t="shared" si="2"/>
        <v>4032951.4870311087</v>
      </c>
      <c r="Q32" s="43">
        <f t="shared" si="2"/>
        <v>3443228.2195091881</v>
      </c>
      <c r="R32" s="43">
        <f t="shared" si="2"/>
        <v>4099414.3699999996</v>
      </c>
      <c r="S32" s="43">
        <f t="shared" si="2"/>
        <v>3321244</v>
      </c>
      <c r="T32" s="96">
        <f t="shared" si="2"/>
        <v>3785218</v>
      </c>
    </row>
    <row r="33" spans="1:20" x14ac:dyDescent="0.25">
      <c r="A33" s="50" t="s">
        <v>153</v>
      </c>
      <c r="B33" t="str">
        <f t="shared" si="0"/>
        <v/>
      </c>
    </row>
    <row r="34" spans="1:20" ht="13.8" thickBot="1" x14ac:dyDescent="0.3">
      <c r="B34" s="3" t="str">
        <f t="shared" si="0"/>
        <v/>
      </c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</row>
    <row r="35" spans="1:20" s="50" customFormat="1" ht="13.8" thickBot="1" x14ac:dyDescent="0.3">
      <c r="A35" s="51" t="s">
        <v>91</v>
      </c>
      <c r="B35" s="20" t="s">
        <v>182</v>
      </c>
      <c r="C35" s="46" t="s">
        <v>183</v>
      </c>
      <c r="D35" s="79" t="s">
        <v>180</v>
      </c>
      <c r="E35" s="127">
        <v>45658</v>
      </c>
      <c r="F35" s="82">
        <v>45292</v>
      </c>
      <c r="G35" s="82">
        <v>44927</v>
      </c>
      <c r="H35" s="82">
        <v>44562</v>
      </c>
      <c r="I35" s="82">
        <v>44197</v>
      </c>
      <c r="J35" s="82">
        <v>43831</v>
      </c>
      <c r="K35" s="82">
        <v>43466</v>
      </c>
      <c r="L35" s="21">
        <v>43101</v>
      </c>
      <c r="M35" s="21">
        <v>42736</v>
      </c>
      <c r="N35" s="21">
        <f>N1</f>
        <v>42370</v>
      </c>
      <c r="O35" s="21">
        <f>O1</f>
        <v>42005</v>
      </c>
      <c r="P35" s="21">
        <f>P1</f>
        <v>41640</v>
      </c>
      <c r="Q35" s="21">
        <v>41275</v>
      </c>
      <c r="R35" s="21">
        <v>40909</v>
      </c>
      <c r="S35" s="21">
        <v>40544</v>
      </c>
      <c r="T35" s="22">
        <v>40179</v>
      </c>
    </row>
    <row r="36" spans="1:20" s="50" customFormat="1" x14ac:dyDescent="0.25">
      <c r="A36" s="97" t="s">
        <v>103</v>
      </c>
      <c r="B36" s="98">
        <f t="shared" si="0"/>
        <v>4.2275565490421467</v>
      </c>
      <c r="C36" s="136">
        <f>E36-'[1]EU - variety'!E36</f>
        <v>-9459.1816259783009</v>
      </c>
      <c r="D36" s="99">
        <f>F36-'[1]EU - variety'!F36</f>
        <v>-4884.8474680498039</v>
      </c>
      <c r="E36" s="55">
        <f>Italy!E$24</f>
        <v>45252.52563704038</v>
      </c>
      <c r="F36" s="56">
        <f>Italy!F$24</f>
        <v>8656.5348863288855</v>
      </c>
      <c r="G36" s="56">
        <f>Italy!G$24</f>
        <v>62104.737550761311</v>
      </c>
      <c r="H36" s="56">
        <f>Italy!H$24</f>
        <v>0</v>
      </c>
      <c r="I36" s="56">
        <f>Italy!I$24</f>
        <v>0</v>
      </c>
      <c r="J36" s="56">
        <f>Italy!J$24</f>
        <v>0</v>
      </c>
      <c r="K36" s="56">
        <f>Italy!K$24</f>
        <v>0</v>
      </c>
      <c r="L36" s="56">
        <f>Italy!L$24</f>
        <v>0</v>
      </c>
      <c r="M36" s="35">
        <f>Italy!M$24</f>
        <v>0</v>
      </c>
      <c r="N36" s="99">
        <f>Italy!N$24</f>
        <v>0</v>
      </c>
      <c r="O36" s="99">
        <f>Italy!O$24</f>
        <v>0</v>
      </c>
      <c r="P36" s="99">
        <f>Italy!P$24</f>
        <v>0</v>
      </c>
      <c r="Q36" s="99">
        <f>Italy!Q$24</f>
        <v>0</v>
      </c>
      <c r="R36" s="99">
        <f>Italy!R$24</f>
        <v>0</v>
      </c>
      <c r="S36" s="99">
        <f>Italy!S$24</f>
        <v>0</v>
      </c>
      <c r="T36" s="100">
        <f>Italy!T$24</f>
        <v>0</v>
      </c>
    </row>
    <row r="37" spans="1:20" s="50" customFormat="1" x14ac:dyDescent="0.25">
      <c r="A37" s="53" t="s">
        <v>38</v>
      </c>
      <c r="B37" s="54">
        <f t="shared" si="0"/>
        <v>-0.29286884907835464</v>
      </c>
      <c r="C37" s="73">
        <f>E37-'[1]EU - variety'!E37</f>
        <v>-121.73752364129837</v>
      </c>
      <c r="D37" s="56">
        <f>F37-'[1]EU - variety'!F37</f>
        <v>-82.935020239507139</v>
      </c>
      <c r="E37" s="55">
        <f>Spain!E$12</f>
        <v>865.70299885554073</v>
      </c>
      <c r="F37" s="56">
        <f>Spain!F$12</f>
        <v>1224.2467295171757</v>
      </c>
      <c r="G37" s="56">
        <f>Spain!G$12</f>
        <v>1384.6526948782216</v>
      </c>
      <c r="H37" s="56">
        <f>Spain!H$12</f>
        <v>1738.6778981447339</v>
      </c>
      <c r="I37" s="56">
        <f>Spain!I$12</f>
        <v>3353.1245684698097</v>
      </c>
      <c r="J37" s="56">
        <f>Spain!J$12</f>
        <v>4332.2439036723454</v>
      </c>
      <c r="K37" s="56">
        <f>Spain!K$12</f>
        <v>3450.4720426565118</v>
      </c>
      <c r="L37" s="56">
        <f>Spain!L$12</f>
        <v>4014</v>
      </c>
      <c r="M37" s="35">
        <f>Spain!M$12</f>
        <v>3910.8721310108958</v>
      </c>
      <c r="N37" s="56">
        <f>Spain!N$12</f>
        <v>3150.0488804605934</v>
      </c>
      <c r="O37" s="56">
        <f>Spain!O$12</f>
        <v>3397</v>
      </c>
      <c r="P37" s="56">
        <f>Spain!P$12</f>
        <v>7092.8756859563418</v>
      </c>
      <c r="Q37" s="56">
        <f>Spain!Q$12</f>
        <v>3096.4120495300422</v>
      </c>
      <c r="R37" s="56">
        <f>Spain!R$12</f>
        <v>7317</v>
      </c>
      <c r="S37" s="56">
        <f>Spain!S$12</f>
        <v>6917</v>
      </c>
      <c r="T37" s="68">
        <f>Spain!T$12</f>
        <v>6289</v>
      </c>
    </row>
    <row r="38" spans="1:20" s="50" customFormat="1" x14ac:dyDescent="0.25">
      <c r="A38" s="53" t="s">
        <v>39</v>
      </c>
      <c r="B38" s="54">
        <f t="shared" si="0"/>
        <v>4.5592634671184795E-2</v>
      </c>
      <c r="C38" s="73">
        <f>E38-'[1]EU - variety'!E38</f>
        <v>-860.13126123606116</v>
      </c>
      <c r="D38" s="56">
        <f>F38-'[1]EU - variety'!F38</f>
        <v>-580.99838559983164</v>
      </c>
      <c r="E38" s="55">
        <f>Spain!E$13</f>
        <v>2487.3402778585896</v>
      </c>
      <c r="F38" s="56">
        <f>Spain!F$13</f>
        <v>2378.8808331083947</v>
      </c>
      <c r="G38" s="56">
        <f>Spain!G$13</f>
        <v>3175.2683245205703</v>
      </c>
      <c r="H38" s="56">
        <f>Spain!H$13</f>
        <v>2184.9858696317638</v>
      </c>
      <c r="I38" s="56">
        <f>Spain!I$13</f>
        <v>6511.0919627975072</v>
      </c>
      <c r="J38" s="56">
        <f>Spain!J$13</f>
        <v>5538.6480656858912</v>
      </c>
      <c r="K38" s="56">
        <f>Spain!K$13</f>
        <v>7356.5567481026746</v>
      </c>
      <c r="L38" s="56">
        <f>Spain!L$13</f>
        <v>10157</v>
      </c>
      <c r="M38" s="35">
        <f>Spain!M$13</f>
        <v>11076.289876382929</v>
      </c>
      <c r="N38" s="56">
        <f>Spain!N$13</f>
        <v>8646.3869584191016</v>
      </c>
      <c r="O38" s="56">
        <f>Spain!O$13</f>
        <v>12489</v>
      </c>
      <c r="P38" s="56">
        <f>Spain!P$13</f>
        <v>12510.793281343675</v>
      </c>
      <c r="Q38" s="56">
        <f>Spain!Q$13</f>
        <v>9076.1092066727815</v>
      </c>
      <c r="R38" s="56">
        <f>Spain!R$13</f>
        <v>15725</v>
      </c>
      <c r="S38" s="56">
        <f>Spain!S$13</f>
        <v>22944</v>
      </c>
      <c r="T38" s="68">
        <f>Spain!T$13</f>
        <v>20736</v>
      </c>
    </row>
    <row r="39" spans="1:20" s="50" customFormat="1" x14ac:dyDescent="0.25">
      <c r="A39" s="53" t="s">
        <v>7</v>
      </c>
      <c r="B39" s="54">
        <f t="shared" si="0"/>
        <v>-0.11555003085920146</v>
      </c>
      <c r="C39" s="73">
        <f>E39-'[1]EU - variety'!E39</f>
        <v>-73681.436727262742</v>
      </c>
      <c r="D39" s="56">
        <f>F39-'[1]EU - variety'!F39</f>
        <v>-106458.46605385037</v>
      </c>
      <c r="E39" s="55">
        <f>Belgium!E$15+Denmark!E$24+Italy!E$25+Poland!E$22+Spain!E$14+Switzerland!E$24+Netherlands!E$12+UK!E$16+'Czech Republic'!E$16+France!E$32</f>
        <v>404538.74932205782</v>
      </c>
      <c r="F39" s="56">
        <f>Belgium!F$15+Denmark!F$24+Italy!F$25+Poland!F$22+Spain!F$14+Switzerland!F$24+Netherlands!F$12+UK!F$16+'Czech Republic'!F$16+France!F$32</f>
        <v>457390.20118350862</v>
      </c>
      <c r="G39" s="56">
        <f>Belgium!G$15+Denmark!G$24+Italy!G$25+Poland!G$22+Spain!G$14+Switzerland!G$24+Netherlands!G$12+UK!G$16+'Czech Republic'!G$16+France!G$32</f>
        <v>438547.52616503101</v>
      </c>
      <c r="H39" s="56">
        <f>Belgium!H$15+Denmark!H$24+Italy!H$25+Poland!H$22+Spain!H$14+Switzerland!H$24+Netherlands!H$12+UK!H$16+'Czech Republic'!H$16+France!H$32</f>
        <v>443132.59086012834</v>
      </c>
      <c r="I39" s="56">
        <f>Belgium!I$15+Denmark!I$24+Italy!I$25+Poland!I$22+Spain!I$14+Switzerland!I$24+Netherlands!I$12+UK!I$16+'Czech Republic'!I$16+France!I$32</f>
        <v>508185.78026022599</v>
      </c>
      <c r="J39" s="56">
        <f>Belgium!J$15+Denmark!J$24+Italy!J$25+Poland!J$22+Spain!J$14+Switzerland!J$24+Netherlands!J$12+UK!J$16+'Czech Republic'!J$16+France!J$32</f>
        <v>417119.02066928061</v>
      </c>
      <c r="K39" s="56">
        <f>Belgium!K$15+Denmark!K$24+Italy!K$25+Poland!K$22+Spain!K$14+Switzerland!K$24+Netherlands!K$12+UK!K$16+'Czech Republic'!K$16+France!K$32</f>
        <v>498732.74422095495</v>
      </c>
      <c r="L39" s="56">
        <f>Belgium!L$15+Denmark!L$24+Italy!L$25+Poland!L$22+Spain!L$14+Switzerland!L$24+Netherlands!L$12+UK!L$16+'Czech Republic'!L$16+France!L$32</f>
        <v>408335</v>
      </c>
      <c r="M39" s="35">
        <f>Belgium!M$15+Denmark!M$24+Italy!M$25+Poland!M$22+Spain!M$14+Switzerland!M$24+Netherlands!M$12+UK!M$16+'Czech Republic'!M$16+France!M$32</f>
        <v>429429.80316441163</v>
      </c>
      <c r="N39" s="56">
        <f>Belgium!N$15+Denmark!N$24+Italy!N$25+Poland!N$22+Spain!N$14+Switzerland!N$24+Netherlands!N$12+UK!N$16+'Czech Republic'!N$16+France!N$32</f>
        <v>470262.18586464302</v>
      </c>
      <c r="O39" s="56">
        <f>Belgium!O$15+Denmark!O$24+Italy!O$25+Poland!O$22+Spain!O$14+Switzerland!O$24+Netherlands!O$12+UK!O$16+'Czech Republic'!O$16+France!O$32</f>
        <v>436939</v>
      </c>
      <c r="P39" s="56">
        <f>Belgium!P$15+Denmark!P$24+Italy!P$25+Poland!P$22+Spain!P$14+Switzerland!P$24+Netherlands!P$12+UK!P$16+'Czech Republic'!P$16+France!P$32</f>
        <v>438424.93627307512</v>
      </c>
      <c r="Q39" s="56">
        <f>Belgium!Q$15+Denmark!Q$24+Italy!Q$25+Poland!Q$22+Spain!Q$14+Switzerland!Q$24+Netherlands!Q$12+UK!Q$16+'Czech Republic'!Q$16+France!Q$32</f>
        <v>265639.02394932229</v>
      </c>
      <c r="R39" s="56">
        <f>Belgium!R$15+Denmark!R$24+Italy!R$25+Poland!R$22+Spain!R$14+Switzerland!R$24+Netherlands!R$12+UK!R$16+'Czech Republic'!R$16+France!R$32</f>
        <v>401639</v>
      </c>
      <c r="S39" s="56">
        <f>Belgium!S$15+Denmark!S$24+Italy!S$25+Poland!S$22+Spain!S$14+Switzerland!S$24+Netherlands!S$12+UK!S$16+'Czech Republic'!S$16+France!S$32</f>
        <v>338292</v>
      </c>
      <c r="T39" s="68">
        <f>Belgium!T$15+Denmark!T$24+Italy!T$25+Poland!T$22+Spain!T$14+Switzerland!T$24+Netherlands!T$12+UK!T$16+'Czech Republic'!T$16+France!T$32</f>
        <v>348650</v>
      </c>
    </row>
    <row r="40" spans="1:20" s="50" customFormat="1" x14ac:dyDescent="0.25">
      <c r="A40" s="53" t="s">
        <v>93</v>
      </c>
      <c r="B40" s="54">
        <f t="shared" si="0"/>
        <v>-7.1646536102514702E-2</v>
      </c>
      <c r="C40" s="73">
        <f>E40-'[1]EU - variety'!E40</f>
        <v>-4411.9881223476586</v>
      </c>
      <c r="D40" s="56">
        <f>F40-'[1]EU - variety'!F40</f>
        <v>-5964.5194459431841</v>
      </c>
      <c r="E40" s="55">
        <f>Belgium!E$16+Italy!E$26+Poland!E$23+Netherlands!E$13+UK!E$17+France!E$33+Denmark!E$25</f>
        <v>8483.9747218832126</v>
      </c>
      <c r="F40" s="56">
        <f>Belgium!F$16+Italy!F$26+Poland!F$23+Netherlands!F$13+UK!F$17+France!F$33+Denmark!F$25</f>
        <v>9138.7333077480362</v>
      </c>
      <c r="G40" s="56">
        <f>Belgium!G$16+Italy!G$26+Poland!G$23+Netherlands!G$13+UK!G$17+France!G$33+Denmark!G$25</f>
        <v>11442.263241170138</v>
      </c>
      <c r="H40" s="56">
        <f>Belgium!H$16+Italy!H$26+Poland!H$23+Netherlands!H$13+UK!H$17+France!H$33+Denmark!H$25</f>
        <v>7472</v>
      </c>
      <c r="I40" s="56">
        <f>Belgium!I$16+Italy!I$26+Poland!I$23+Netherlands!I$13+UK!I$17+France!I$33+Denmark!I$25</f>
        <v>16859.7</v>
      </c>
      <c r="J40" s="56">
        <f>Belgium!J$16+Italy!J$26+Poland!J$23+Netherlands!J$13+UK!J$17+France!J$33+Denmark!J$25</f>
        <v>12071</v>
      </c>
      <c r="K40" s="56">
        <f>Belgium!K$16+Italy!K$26+Poland!K$23+Netherlands!K$13+UK!K$17+France!K$33+Denmark!K$25</f>
        <v>19565</v>
      </c>
      <c r="L40" s="56">
        <f>Belgium!L$16+Italy!L$26+Poland!L$23+Netherlands!L$13+UK!L$17+France!L$33+Denmark!L$25</f>
        <v>6508</v>
      </c>
      <c r="M40" s="35">
        <f>Belgium!M$16+Italy!M$26+Poland!M$23+Netherlands!M$13+UK!M$17+France!M$33+Denmark!M$25</f>
        <v>15842</v>
      </c>
      <c r="N40" s="56">
        <f>Belgium!N$16+Italy!N$26+Poland!N$23+Netherlands!N$13+UK!N$17+France!N$33+Denmark!N$25</f>
        <v>21040</v>
      </c>
      <c r="O40" s="56">
        <f>Belgium!O$16+Italy!O$26+Poland!O$23+Netherlands!O$13+UK!O$17+France!O$33+Denmark!O$25</f>
        <v>19545</v>
      </c>
      <c r="P40" s="56">
        <f>Belgium!P$16+Italy!P$26+Poland!P$23+Netherlands!P$13+UK!P$17+France!P$33+Denmark!P$25</f>
        <v>18270</v>
      </c>
      <c r="Q40" s="56">
        <f>Belgium!Q$16+Italy!Q$26+Poland!Q$23+Netherlands!Q$13+UK!Q$17+France!Q$33+Denmark!Q$25</f>
        <v>3597</v>
      </c>
      <c r="R40" s="56">
        <f>Belgium!R$16+Italy!R$26+Poland!R$23+Netherlands!R$13+UK!R$17+France!R$33+Denmark!R$25</f>
        <v>15436</v>
      </c>
      <c r="S40" s="56">
        <f>Belgium!S$16+Italy!S$26+Poland!S$23+Netherlands!S$13+UK!S$17+France!S$33+Denmark!S$25</f>
        <v>10200</v>
      </c>
      <c r="T40" s="68">
        <f>Belgium!T$16+Italy!T$26+Poland!T$23+Netherlands!T$13+UK!T$17+France!T$33+Denmark!T$25</f>
        <v>17615</v>
      </c>
    </row>
    <row r="41" spans="1:20" s="50" customFormat="1" x14ac:dyDescent="0.25">
      <c r="A41" s="53" t="s">
        <v>30</v>
      </c>
      <c r="B41" s="54">
        <f t="shared" si="0"/>
        <v>1.6072265758786943</v>
      </c>
      <c r="C41" s="73">
        <f>E41-'[1]EU - variety'!E41</f>
        <v>-1265.8307772551507</v>
      </c>
      <c r="D41" s="56">
        <f>F41-'[1]EU - variety'!F41</f>
        <v>-570.13222072582676</v>
      </c>
      <c r="E41" s="55">
        <f>Italy!E$27</f>
        <v>8797.0675651612546</v>
      </c>
      <c r="F41" s="56">
        <f>Italy!F$27</f>
        <v>3374.109349202397</v>
      </c>
      <c r="G41" s="56">
        <f>Italy!G$27</f>
        <v>13580.682088885846</v>
      </c>
      <c r="H41" s="56">
        <f>Italy!H$27</f>
        <v>0</v>
      </c>
      <c r="I41" s="56">
        <f>Italy!I$27</f>
        <v>0</v>
      </c>
      <c r="J41" s="56">
        <f>Italy!J$27</f>
        <v>0</v>
      </c>
      <c r="K41" s="56">
        <f>Italy!K$27</f>
        <v>0</v>
      </c>
      <c r="L41" s="56">
        <f>Italy!L$27</f>
        <v>0</v>
      </c>
      <c r="M41" s="35">
        <f>Italy!M$27</f>
        <v>0</v>
      </c>
      <c r="N41" s="56">
        <f>Italy!N$27</f>
        <v>0</v>
      </c>
      <c r="O41" s="56">
        <f>Italy!O$27</f>
        <v>0</v>
      </c>
      <c r="P41" s="56">
        <f>Italy!P$27</f>
        <v>0</v>
      </c>
      <c r="Q41" s="56">
        <f>Italy!Q$27</f>
        <v>0</v>
      </c>
      <c r="R41" s="56">
        <f>Italy!R$27</f>
        <v>0</v>
      </c>
      <c r="S41" s="56">
        <f>Italy!S$27</f>
        <v>0</v>
      </c>
      <c r="T41" s="68">
        <f>Italy!T$27</f>
        <v>0</v>
      </c>
    </row>
    <row r="42" spans="1:20" s="50" customFormat="1" x14ac:dyDescent="0.25">
      <c r="A42" s="53" t="s">
        <v>151</v>
      </c>
      <c r="B42" s="54">
        <f t="shared" si="0"/>
        <v>0.19713365353085277</v>
      </c>
      <c r="C42" s="73">
        <f>E42-'[2]EU variety'!$C$42</f>
        <v>-21500</v>
      </c>
      <c r="D42" s="56">
        <f>F42-'[2]EU variety'!$D$42</f>
        <v>-25042</v>
      </c>
      <c r="E42" s="55">
        <f>Portugal!E$13</f>
        <v>62063</v>
      </c>
      <c r="F42" s="56">
        <f>Portugal!F$13</f>
        <v>51843</v>
      </c>
      <c r="G42" s="56">
        <f>Portugal!G$13</f>
        <v>55279.964223139912</v>
      </c>
      <c r="H42" s="56">
        <f>Portugal!H$13</f>
        <v>127647</v>
      </c>
      <c r="I42" s="56">
        <f>Portugal!I$13</f>
        <v>52487</v>
      </c>
      <c r="J42" s="56">
        <f>Portugal!J$13</f>
        <v>86608</v>
      </c>
      <c r="K42" s="56">
        <f>Portugal!K$13</f>
        <v>75996</v>
      </c>
      <c r="L42" s="56">
        <f>Portugal!L$13</f>
        <v>71475</v>
      </c>
      <c r="M42" s="35">
        <f>Portugal!M$13</f>
        <v>59851</v>
      </c>
      <c r="N42" s="56">
        <f>Portugal!N$13</f>
        <v>47466</v>
      </c>
      <c r="O42" s="56">
        <f>Portugal!O$13</f>
        <v>80378</v>
      </c>
      <c r="P42" s="56">
        <f>Portugal!P$13</f>
        <v>83498</v>
      </c>
      <c r="Q42" s="56">
        <f>Portugal!Q$13</f>
        <v>31792</v>
      </c>
      <c r="R42" s="56">
        <f>Portugal!R$13</f>
        <v>70946</v>
      </c>
      <c r="S42" s="56">
        <f>Portugal!U$13</f>
        <v>0</v>
      </c>
      <c r="T42" s="68">
        <f>Portugal!V$13</f>
        <v>0</v>
      </c>
    </row>
    <row r="43" spans="1:20" s="50" customFormat="1" ht="13.8" thickBot="1" x14ac:dyDescent="0.3">
      <c r="A43" s="57" t="s">
        <v>6</v>
      </c>
      <c r="B43" s="58">
        <f t="shared" si="0"/>
        <v>0.56553282280682127</v>
      </c>
      <c r="C43" s="74">
        <f>E43-'[1]EU - variety'!E43</f>
        <v>-34747.613461463523</v>
      </c>
      <c r="D43" s="60">
        <f>F43-'[1]EU - variety'!F43</f>
        <v>-12233.338038325412</v>
      </c>
      <c r="E43" s="59">
        <f>Belgium!E$17+Belgium!E$19+Denmark!E$26+Germany!E$25+Italy!E$28+Poland!E$24+Spain!E$15+Spain!E$16+Switzerland!E$23+Switzerland!E$25+Switzerland!E$26+Switzerland!E$27+Netherlands!E$14+UK!E$18+'Czech Republic'!E$17+'Czech Republic'!E$18+'Czech Republic'!E$19+'Czech Republic'!E$20+France!E$31+France!E$35+France!E$36+France!E$37+France!E$30+Belgium!E$18+Slovakia!C17</f>
        <v>76055.282223300033</v>
      </c>
      <c r="F43" s="60">
        <f>Belgium!F$17+Belgium!F$19+Denmark!F$26+Germany!F$25+Italy!F$28+Poland!F$24+Spain!F$15+Spain!F$16+Switzerland!F$23+Switzerland!F$25+Switzerland!F$26+Switzerland!F$27+Netherlands!F$14+UK!F$18+'Czech Republic'!F$17+'Czech Republic'!F$18+'Czech Republic'!F$19+'Czech Republic'!F$20+France!F$31+France!F$35+France!F$36+France!F$37+France!F$30+Belgium!F$18+Slovakia!D17</f>
        <v>48581.084417598868</v>
      </c>
      <c r="G43" s="60">
        <f>Belgium!G$17+Belgium!G$19+Denmark!G$26+Germany!G$25+Italy!G$28+Poland!G$24+Spain!G$15+Spain!G$16+Switzerland!G$23+Switzerland!G$25+Switzerland!G$26+Switzerland!G$27+Netherlands!G$14+UK!G$18+'Czech Republic'!G$17+'Czech Republic'!G$18+'Czech Republic'!G$19+'Czech Republic'!G$20+France!G$31+France!G$35+France!G$36+France!G$37+France!G$30+Belgium!G$18+Slovakia!F17</f>
        <v>77645.910633415682</v>
      </c>
      <c r="H43" s="60">
        <f>Belgium!H$17+Belgium!H$19+Denmark!H$26+Germany!H$25+Italy!H$28+Poland!H$24+Spain!H$15+Spain!H$16+Switzerland!H$23+Switzerland!H$25+Switzerland!H$26+Switzerland!H$27+Netherlands!H$14+UK!H$18+'Czech Republic'!H$17+'Czech Republic'!H$18+'Czech Republic'!H$19+'Czech Republic'!H$20+France!H$31+France!H$35+France!H$36+France!H$37+France!H$30+Belgium!H$18+Slovakia!G17</f>
        <v>40425.620710927149</v>
      </c>
      <c r="I43" s="60">
        <f>Belgium!I$17+Belgium!I$19+Denmark!I$26+Germany!I$25+Italy!I$28+Poland!I$24+Spain!I$15+Spain!I$16+Switzerland!I$23+Switzerland!I$25+Switzerland!I$26+Switzerland!I$27+Netherlands!I$14+UK!I$18+'Czech Republic'!I$17+'Czech Republic'!I$18+'Czech Republic'!I$19+'Czech Republic'!I$20+France!I$31+France!I$35+France!I$36+France!I$37+France!I$30</f>
        <v>45771.963020442192</v>
      </c>
      <c r="J43" s="60">
        <f>Belgium!J$17+Belgium!J$19+Denmark!J$26+Germany!J$25+Italy!J$28+Poland!J$24+Spain!J$15+Spain!J$16+Switzerland!J$23+Switzerland!J$25+Switzerland!J$26+Switzerland!J$27+Netherlands!J$14+UK!J$18+'Czech Republic'!J$17+'Czech Republic'!J$18+'Czech Republic'!J$19+'Czech Republic'!J$20+France!J$31+France!J$35+France!J$36+France!J$37+France!J$30</f>
        <v>39708.285414435639</v>
      </c>
      <c r="K43" s="60">
        <f>Belgium!K$17+Belgium!K$19+Denmark!K$26+Germany!K$25+Italy!K$28+Poland!K$24+Spain!K$15+Spain!K$16+Switzerland!K$23+Switzerland!K$25+Switzerland!K$26+Switzerland!K$27+Netherlands!K$14+UK!K$18+'Czech Republic'!K$17+'Czech Republic'!K$18+'Czech Republic'!K$19+'Czech Republic'!K$20+France!K$31+France!K$35+France!K$36+France!K$37+France!K$30</f>
        <v>45771.144099558041</v>
      </c>
      <c r="L43" s="60">
        <f>Belgium!L$17+Belgium!L$19+Denmark!L$26+Germany!L$25+Italy!L$28+Poland!L$24+Spain!L$15+Spain!L$16+Switzerland!L$23+Switzerland!L$25+Switzerland!L$26+Switzerland!L$27+Netherlands!L$14+UK!L$18+'Czech Republic'!L$17+'Czech Republic'!L$18+'Czech Republic'!L$19+'Czech Republic'!L$20+France!L$31+France!L$35+France!L$36+France!L$37+France!L$30</f>
        <v>21939</v>
      </c>
      <c r="M43" s="35">
        <f>Belgium!M$17+Belgium!M$19+Denmark!M$26+Germany!M$25+Italy!M$28+Poland!M$24+Spain!M$15+Spain!M$16+Switzerland!M$23+Switzerland!M$25+Switzerland!M$26+Switzerland!M$27+Netherlands!M$14+UK!M$18+'Czech Republic'!M$17+'Czech Republic'!M$18+'Czech Republic'!M$19+'Czech Republic'!M$20+France!M$31+France!M$35+France!M$36+France!M$37+France!M$30</f>
        <v>32393.305854707185</v>
      </c>
      <c r="N43" s="60">
        <f>Belgium!N$17+Belgium!N$19+Denmark!N$26+Germany!N$25+Italy!N$28+Poland!N$24+Spain!N$15+Spain!N$16+Switzerland!N$23+Switzerland!N$25+Switzerland!N$26+Switzerland!N$27+Netherlands!N$14+UK!N$18+'Czech Republic'!N$17+'Czech Republic'!N$18+'Czech Republic'!N$19+'Czech Republic'!N$20+France!N$31+France!N$35+France!N$36+France!N$37+France!N$30</f>
        <v>35856.867255213088</v>
      </c>
      <c r="O43" s="60">
        <f>Belgium!O$19+Denmark!O$26+Germany!O$25+Italy!O$28+Poland!O$24+Spain!O$15+Spain!O$16+Switzerland!O$23+Switzerland!O$25+Switzerland!O$27+Netherlands!O$14+UK!O$18+'Czech Republic'!O$17+'Czech Republic'!O$18+'Czech Republic'!O$19+'Czech Republic'!O$20+France!O$31+France!O$35+France!O$36+France!O$37+France!O$30</f>
        <v>37463</v>
      </c>
      <c r="P43" s="60">
        <f>Belgium!P$19+Denmark!P$26+Germany!P$25+Italy!P$28+Poland!P$24+Spain!P$15+Spain!P$16+Switzerland!P$23+Switzerland!P$25+Switzerland!P$27+Netherlands!P$14+UK!P$18+'Czech Republic'!P$17+'Czech Republic'!P$18+'Czech Republic'!P$19+'Czech Republic'!P$20+France!P$31+France!P$35+France!P$36+France!P$37+France!P$30</f>
        <v>41440.110257652683</v>
      </c>
      <c r="Q43" s="60">
        <f>Belgium!Q$19+Denmark!Q$26+Germany!Q$25+Italy!Q$28+Poland!Q$24+Spain!Q$15+Spain!Q$16+Switzerland!Q$23+Switzerland!Q$25+Switzerland!Q$27+Netherlands!Q$14+UK!Q$18+'Czech Republic'!Q$17+'Czech Republic'!Q$18+'Czech Republic'!Q$19+'Czech Republic'!Q$20+France!Q$31+France!Q$35+France!Q$36+France!Q$37+France!Q$30</f>
        <v>14337.075967934981</v>
      </c>
      <c r="R43" s="60">
        <f>Belgium!R$19+Denmark!R$26+Germany!R$25+Italy!R$28+Poland!R$24+Spain!R$15+Spain!R$16+Switzerland!R$23+Switzerland!R$25+Switzerland!R$27+Netherlands!R$14+UK!R$18+'Czech Republic'!R$17+'Czech Republic'!R$18+'Czech Republic'!R$19+'Czech Republic'!R$20+France!R$31+France!R$35+France!R$36+France!R$37+France!R$30</f>
        <v>31311</v>
      </c>
      <c r="S43" s="60">
        <f>Belgium!S$19+Denmark!S$26+Germany!S$25+Italy!S$28+Poland!S$24+Spain!S$15+Spain!S$16+Switzerland!S$23+Switzerland!S$25+Switzerland!S$27+Netherlands!S$14+UK!S$18+'Czech Republic'!S$17+'Czech Republic'!S$18+'Czech Republic'!S$19+'Czech Republic'!S$20+France!S$31+France!S$35+France!S$36+France!S$37+France!S$30</f>
        <v>21186</v>
      </c>
      <c r="T43" s="69">
        <f>Belgium!T$19+Denmark!T$26+Germany!T$25+Italy!T$28+Poland!T$24+Spain!T$15+Spain!T$16+Switzerland!T$23+Switzerland!T$25+Switzerland!T$27+Netherlands!T$14+UK!T$18+'Czech Republic'!T$17+'Czech Republic'!T$18+'Czech Republic'!T$19+'Czech Republic'!T$20+France!T$31+France!T$35+France!T$36+France!T$37+France!T$30</f>
        <v>30930</v>
      </c>
    </row>
    <row r="44" spans="1:20" s="50" customFormat="1" ht="13.8" thickBot="1" x14ac:dyDescent="0.3">
      <c r="A44" s="61" t="s">
        <v>92</v>
      </c>
      <c r="B44" s="94">
        <f t="shared" si="0"/>
        <v>4.4554480899994031E-2</v>
      </c>
      <c r="C44" s="137">
        <f>E44-'[1]EU - variety'!E44</f>
        <v>-62484.919499184587</v>
      </c>
      <c r="D44" s="103">
        <f>F44-'[1]EU - variety'!F44</f>
        <v>-78932.236632733839</v>
      </c>
      <c r="E44" s="128">
        <f>SUM(E36:E43)</f>
        <v>608543.6427461569</v>
      </c>
      <c r="F44" s="103">
        <f>SUM(F36:F43)</f>
        <v>582586.79070701252</v>
      </c>
      <c r="G44" s="103">
        <f>SUM(G36:G43)</f>
        <v>663161.00492180267</v>
      </c>
      <c r="H44" s="103">
        <f>SUM(H36:H43)</f>
        <v>622600.87533883203</v>
      </c>
      <c r="I44" s="103">
        <f t="shared" ref="I44:N44" si="3">SUM(I36:I43)</f>
        <v>633168.6598119355</v>
      </c>
      <c r="J44" s="103">
        <f t="shared" si="3"/>
        <v>565377.19805307453</v>
      </c>
      <c r="K44" s="103">
        <f t="shared" si="3"/>
        <v>650871.91711127223</v>
      </c>
      <c r="L44" s="103">
        <f t="shared" si="3"/>
        <v>522428</v>
      </c>
      <c r="M44" s="85">
        <f t="shared" si="3"/>
        <v>552503.27102651261</v>
      </c>
      <c r="N44" s="85">
        <f t="shared" si="3"/>
        <v>586421.48895873583</v>
      </c>
      <c r="O44" s="85">
        <f t="shared" ref="O44:T44" si="4">SUM(O36:O43)</f>
        <v>590211</v>
      </c>
      <c r="P44" s="85">
        <f t="shared" si="4"/>
        <v>601236.71549802786</v>
      </c>
      <c r="Q44" s="85">
        <f t="shared" si="4"/>
        <v>327537.62117346009</v>
      </c>
      <c r="R44" s="85">
        <f t="shared" si="4"/>
        <v>542374</v>
      </c>
      <c r="S44" s="85">
        <f t="shared" si="4"/>
        <v>399539</v>
      </c>
      <c r="T44" s="86">
        <f t="shared" si="4"/>
        <v>424220</v>
      </c>
    </row>
    <row r="45" spans="1:20" s="50" customFormat="1" x14ac:dyDescent="0.25">
      <c r="A45" s="3" t="s">
        <v>162</v>
      </c>
      <c r="B45" s="50" t="str">
        <f t="shared" si="0"/>
        <v/>
      </c>
    </row>
    <row r="46" spans="1:20" s="50" customFormat="1" x14ac:dyDescent="0.25">
      <c r="B46" s="50" t="str">
        <f t="shared" si="0"/>
        <v/>
      </c>
    </row>
    <row r="47" spans="1:20" s="50" customFormat="1" x14ac:dyDescent="0.25">
      <c r="B47" s="50" t="str">
        <f t="shared" si="0"/>
        <v/>
      </c>
    </row>
    <row r="48" spans="1:20" s="50" customFormat="1" x14ac:dyDescent="0.25">
      <c r="B48" s="50" t="str">
        <f t="shared" si="0"/>
        <v/>
      </c>
    </row>
    <row r="49" spans="2:7" s="50" customFormat="1" x14ac:dyDescent="0.25">
      <c r="B49" s="50" t="str">
        <f t="shared" si="0"/>
        <v/>
      </c>
    </row>
    <row r="50" spans="2:7" s="50" customFormat="1" x14ac:dyDescent="0.25">
      <c r="B50" s="50" t="str">
        <f t="shared" si="0"/>
        <v/>
      </c>
    </row>
    <row r="51" spans="2:7" s="50" customFormat="1" x14ac:dyDescent="0.25"/>
    <row r="52" spans="2:7" s="50" customFormat="1" x14ac:dyDescent="0.25"/>
    <row r="53" spans="2:7" hidden="1" x14ac:dyDescent="0.25">
      <c r="E53" s="1"/>
      <c r="F53" s="1">
        <f>F32-C32-'[1]EU - variety'!$E$32</f>
        <v>163997.93334023003</v>
      </c>
      <c r="G53" s="1">
        <f>G32-D32-'[1]EU - country'!$F$16</f>
        <v>184079.80362241995</v>
      </c>
    </row>
    <row r="54" spans="2:7" hidden="1" x14ac:dyDescent="0.25">
      <c r="D54" s="1"/>
      <c r="E54" s="1"/>
      <c r="F54" s="1">
        <f>F44-C44-'[1]EU - country'!$E$33</f>
        <v>-25956.852039144491</v>
      </c>
      <c r="G54" s="1">
        <f>G44-D44-'[1]EU - country'!$F$33</f>
        <v>80574.214214790263</v>
      </c>
    </row>
  </sheetData>
  <phoneticPr fontId="2" type="noConversion"/>
  <conditionalFormatting sqref="E53:G54">
    <cfRule type="cellIs" dxfId="1" priority="1" operator="equal">
      <formula>0</formula>
    </cfRule>
    <cfRule type="cellIs" dxfId="0" priority="2" operator="notEqual">
      <formula>0</formula>
    </cfRule>
  </conditionalFormatting>
  <pageMargins left="0.75" right="0.75" top="1" bottom="1" header="0.5" footer="0.5"/>
  <pageSetup paperSize="9" fitToHeight="3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50"/>
  <sheetViews>
    <sheetView zoomScaleNormal="100" workbookViewId="0"/>
  </sheetViews>
  <sheetFormatPr defaultColWidth="9.109375" defaultRowHeight="13.2" x14ac:dyDescent="0.25"/>
  <cols>
    <col min="1" max="1" width="29.33203125" customWidth="1"/>
    <col min="2" max="2" width="10.6640625" customWidth="1"/>
    <col min="3" max="3" width="12" customWidth="1"/>
    <col min="4" max="4" width="11.44140625" bestFit="1" customWidth="1"/>
    <col min="5" max="11" width="11.44140625" customWidth="1"/>
    <col min="12" max="12" width="10.77734375" customWidth="1"/>
    <col min="13" max="23" width="10.109375" bestFit="1" customWidth="1"/>
  </cols>
  <sheetData>
    <row r="1" spans="1:23" ht="13.8" thickBot="1" x14ac:dyDescent="0.3">
      <c r="A1" s="19" t="s">
        <v>24</v>
      </c>
      <c r="B1" s="20" t="s">
        <v>182</v>
      </c>
      <c r="C1" s="46" t="s">
        <v>183</v>
      </c>
      <c r="D1" s="79" t="s">
        <v>180</v>
      </c>
      <c r="E1" s="127">
        <v>45658</v>
      </c>
      <c r="F1" s="82">
        <v>45292</v>
      </c>
      <c r="G1" s="82">
        <v>44927</v>
      </c>
      <c r="H1" s="82">
        <v>44562</v>
      </c>
      <c r="I1" s="82">
        <v>44197</v>
      </c>
      <c r="J1" s="82">
        <v>43831</v>
      </c>
      <c r="K1" s="82">
        <v>43466</v>
      </c>
      <c r="L1" s="21">
        <v>43101</v>
      </c>
      <c r="M1" s="21">
        <v>42736</v>
      </c>
      <c r="N1" s="21">
        <v>42370</v>
      </c>
      <c r="O1" s="21">
        <v>42005</v>
      </c>
      <c r="P1" s="21">
        <v>41640</v>
      </c>
      <c r="Q1" s="21">
        <v>41275</v>
      </c>
      <c r="R1" s="21">
        <v>40909</v>
      </c>
      <c r="S1" s="21">
        <v>40544</v>
      </c>
      <c r="T1" s="21">
        <v>40179</v>
      </c>
      <c r="U1" s="21">
        <v>39814</v>
      </c>
      <c r="V1" s="21">
        <v>39448</v>
      </c>
      <c r="W1" s="22">
        <v>39083</v>
      </c>
    </row>
    <row r="2" spans="1:23" x14ac:dyDescent="0.25">
      <c r="A2" s="16" t="s">
        <v>94</v>
      </c>
      <c r="B2" s="23">
        <f>IFERROR((E2/F2-1), "")</f>
        <v>-0.8111662937291928</v>
      </c>
      <c r="C2" s="47">
        <f>E2-[1]Austria!E2</f>
        <v>-27.618763413879549</v>
      </c>
      <c r="D2" s="1">
        <f>F2-[1]Austria!F2</f>
        <v>-50.597012166398713</v>
      </c>
      <c r="E2" s="109">
        <v>101.64512338425382</v>
      </c>
      <c r="F2" s="1">
        <v>538.27849588719153</v>
      </c>
      <c r="G2" s="1">
        <v>763.10303752233472</v>
      </c>
      <c r="H2" s="1">
        <v>448.98749255509239</v>
      </c>
      <c r="I2" s="1">
        <v>731.19999999999993</v>
      </c>
      <c r="J2" s="1">
        <v>588</v>
      </c>
      <c r="K2" s="1">
        <v>818.51</v>
      </c>
      <c r="L2" s="1">
        <f>278+23</f>
        <v>301</v>
      </c>
      <c r="M2" s="1">
        <v>8</v>
      </c>
      <c r="N2" s="1">
        <v>1347.16</v>
      </c>
      <c r="O2" s="1">
        <v>1712</v>
      </c>
      <c r="P2" s="1">
        <v>1582.5</v>
      </c>
      <c r="Q2" s="1">
        <v>1626</v>
      </c>
      <c r="R2" s="1">
        <v>2013</v>
      </c>
      <c r="S2" s="1">
        <v>2305</v>
      </c>
      <c r="T2" s="1">
        <v>2169</v>
      </c>
      <c r="U2" s="1">
        <v>3334</v>
      </c>
      <c r="V2" s="1">
        <v>2744</v>
      </c>
      <c r="W2" s="25">
        <v>2360</v>
      </c>
    </row>
    <row r="3" spans="1:23" x14ac:dyDescent="0.25">
      <c r="A3" s="16" t="s">
        <v>4</v>
      </c>
      <c r="B3" s="23">
        <f t="shared" ref="B3:B50" si="0">IFERROR((E3/F3-1), "")</f>
        <v>0.41379310344827558</v>
      </c>
      <c r="C3" s="47">
        <f>E3-[1]Austria!E3</f>
        <v>-39.115142539800075</v>
      </c>
      <c r="D3" s="1">
        <f>F3-[1]Austria!F3</f>
        <v>-88.208071084783413</v>
      </c>
      <c r="E3" s="109">
        <v>55.405405405405403</v>
      </c>
      <c r="F3" s="1">
        <v>39.189189189189193</v>
      </c>
      <c r="G3" s="1">
        <v>256.16438356164383</v>
      </c>
      <c r="H3" s="1">
        <v>101.36986301369863</v>
      </c>
      <c r="I3" s="1">
        <v>9.1</v>
      </c>
      <c r="J3" s="1">
        <v>0</v>
      </c>
      <c r="K3" s="1">
        <v>32.700000000000003</v>
      </c>
      <c r="L3" s="1">
        <f>3</f>
        <v>3</v>
      </c>
      <c r="M3" s="1">
        <v>0</v>
      </c>
      <c r="N3" s="1">
        <v>14.17</v>
      </c>
      <c r="O3" s="1">
        <v>8</v>
      </c>
      <c r="P3" s="1">
        <v>33.79</v>
      </c>
      <c r="Q3" s="1">
        <v>0</v>
      </c>
      <c r="R3" s="1">
        <v>17</v>
      </c>
      <c r="S3" s="1">
        <v>0</v>
      </c>
      <c r="T3" s="1">
        <v>9</v>
      </c>
      <c r="U3" s="1">
        <v>8</v>
      </c>
      <c r="V3" s="1"/>
      <c r="W3" s="25"/>
    </row>
    <row r="4" spans="1:23" x14ac:dyDescent="0.25">
      <c r="A4" s="16" t="s">
        <v>11</v>
      </c>
      <c r="B4" s="23">
        <f t="shared" si="0"/>
        <v>-0.2370912366166763</v>
      </c>
      <c r="C4" s="47">
        <f>E4-[1]Austria!E4</f>
        <v>-249.94174973329154</v>
      </c>
      <c r="D4" s="1">
        <f>F4-[1]Austria!F4</f>
        <v>-231.91158960962548</v>
      </c>
      <c r="E4" s="109">
        <v>4628.2608695652179</v>
      </c>
      <c r="F4" s="1">
        <v>6066.5981198589889</v>
      </c>
      <c r="G4" s="1">
        <v>9820.4883859440142</v>
      </c>
      <c r="H4" s="1">
        <v>6924.7617629541401</v>
      </c>
      <c r="I4" s="1">
        <v>7279.8</v>
      </c>
      <c r="J4" s="1">
        <v>8588</v>
      </c>
      <c r="K4" s="1">
        <v>11380.8</v>
      </c>
      <c r="L4" s="1">
        <f>3749+660</f>
        <v>4409</v>
      </c>
      <c r="M4" s="1">
        <v>2023.16</v>
      </c>
      <c r="N4" s="1">
        <v>11532.35</v>
      </c>
      <c r="O4" s="1">
        <v>11718</v>
      </c>
      <c r="P4" s="1">
        <v>12370.26</v>
      </c>
      <c r="Q4" s="1">
        <v>10455</v>
      </c>
      <c r="R4" s="1">
        <v>14507.16</v>
      </c>
      <c r="S4" s="1">
        <v>14394</v>
      </c>
      <c r="T4" s="1">
        <v>14973</v>
      </c>
      <c r="U4" s="1">
        <v>11594</v>
      </c>
      <c r="V4" s="1">
        <v>10602</v>
      </c>
      <c r="W4" s="25">
        <v>9039</v>
      </c>
    </row>
    <row r="5" spans="1:23" x14ac:dyDescent="0.25">
      <c r="A5" s="16" t="s">
        <v>2</v>
      </c>
      <c r="B5" s="23">
        <f t="shared" si="0"/>
        <v>-0.56728971962616814</v>
      </c>
      <c r="C5" s="47">
        <f>E5-[1]Austria!E5</f>
        <v>-348.64864864864876</v>
      </c>
      <c r="D5" s="1">
        <f>F5-[1]Austria!F5</f>
        <v>-547.83413550536898</v>
      </c>
      <c r="E5" s="109">
        <v>1251.3513513513512</v>
      </c>
      <c r="F5" s="1">
        <v>2891.8918918918916</v>
      </c>
      <c r="G5" s="1">
        <v>4716.4383561643835</v>
      </c>
      <c r="H5" s="1">
        <v>2999.1512805241214</v>
      </c>
      <c r="I5" s="1">
        <v>1990.3</v>
      </c>
      <c r="J5" s="1">
        <v>2224</v>
      </c>
      <c r="K5" s="1">
        <v>4551.67</v>
      </c>
      <c r="L5" s="1">
        <f>1112</f>
        <v>1112</v>
      </c>
      <c r="M5" s="1">
        <v>33.79</v>
      </c>
      <c r="N5" s="1">
        <v>2545.06</v>
      </c>
      <c r="O5" s="1">
        <v>2678</v>
      </c>
      <c r="P5" s="1">
        <v>2694.24</v>
      </c>
      <c r="Q5" s="1">
        <v>2497</v>
      </c>
      <c r="R5" s="1">
        <v>4445.7</v>
      </c>
      <c r="S5" s="1">
        <v>3635</v>
      </c>
      <c r="T5" s="1">
        <v>4094</v>
      </c>
      <c r="U5" s="1">
        <v>3453</v>
      </c>
      <c r="V5" s="1">
        <v>4206</v>
      </c>
      <c r="W5" s="25">
        <v>4878</v>
      </c>
    </row>
    <row r="6" spans="1:23" x14ac:dyDescent="0.25">
      <c r="A6" s="16" t="s">
        <v>144</v>
      </c>
      <c r="B6" s="23">
        <f t="shared" si="0"/>
        <v>3.5750766087844665E-2</v>
      </c>
      <c r="C6" s="47">
        <f>E6-[1]Austria!E6</f>
        <v>-651.38837467604571</v>
      </c>
      <c r="D6" s="1">
        <f>F6-[1]Austria!F6</f>
        <v>-1028.9707515734917</v>
      </c>
      <c r="E6" s="109">
        <v>6851.3513513513517</v>
      </c>
      <c r="F6" s="1">
        <v>6614.864864864865</v>
      </c>
      <c r="G6" s="1">
        <v>7742.465753424658</v>
      </c>
      <c r="H6" s="1">
        <v>5435.6164383561645</v>
      </c>
      <c r="I6" s="1">
        <v>11903.55</v>
      </c>
      <c r="J6" s="1">
        <v>8704</v>
      </c>
      <c r="K6" s="1">
        <v>8517.26</v>
      </c>
      <c r="L6" s="1">
        <v>4773</v>
      </c>
      <c r="M6" s="1">
        <v>2823.1</v>
      </c>
      <c r="N6" s="1">
        <v>5897.99</v>
      </c>
      <c r="O6" s="1">
        <v>5064</v>
      </c>
      <c r="P6" s="1">
        <v>3188.25</v>
      </c>
      <c r="Q6" s="1">
        <v>2119</v>
      </c>
      <c r="R6" s="1">
        <v>2383</v>
      </c>
      <c r="S6" s="1">
        <v>926</v>
      </c>
      <c r="T6" s="1"/>
      <c r="U6" s="1"/>
      <c r="V6" s="1"/>
      <c r="W6" s="25"/>
    </row>
    <row r="7" spans="1:23" x14ac:dyDescent="0.25">
      <c r="A7" s="16" t="s">
        <v>12</v>
      </c>
      <c r="B7" s="23">
        <f t="shared" si="0"/>
        <v>-2.4918032786885314E-2</v>
      </c>
      <c r="C7" s="47">
        <f>E7-[1]Austria!E7</f>
        <v>282.06219918548686</v>
      </c>
      <c r="D7" s="1">
        <f>F7-[1]Austria!F7</f>
        <v>-148.77823028507964</v>
      </c>
      <c r="E7" s="109">
        <v>2009.4594594594594</v>
      </c>
      <c r="F7" s="1">
        <v>2060.8108108108108</v>
      </c>
      <c r="G7" s="1">
        <v>2519.178082191781</v>
      </c>
      <c r="H7" s="1">
        <v>2564.6217986896963</v>
      </c>
      <c r="I7" s="1">
        <v>2021.2</v>
      </c>
      <c r="J7" s="1">
        <v>2269</v>
      </c>
      <c r="K7" s="1">
        <v>2938.94</v>
      </c>
      <c r="L7" s="1">
        <v>1507</v>
      </c>
      <c r="M7" s="80">
        <v>559.16999999999996</v>
      </c>
      <c r="N7" s="80">
        <v>2630.17</v>
      </c>
      <c r="O7" s="80">
        <v>2696</v>
      </c>
      <c r="P7" s="80">
        <v>2302.48</v>
      </c>
      <c r="Q7" s="80">
        <v>1863</v>
      </c>
      <c r="R7" s="80">
        <v>2805</v>
      </c>
      <c r="S7" s="80">
        <v>754</v>
      </c>
      <c r="T7" s="80">
        <v>3005</v>
      </c>
      <c r="U7" s="80">
        <v>1327</v>
      </c>
      <c r="V7" s="1"/>
      <c r="W7" s="25"/>
    </row>
    <row r="8" spans="1:23" x14ac:dyDescent="0.25">
      <c r="A8" s="16" t="s">
        <v>9</v>
      </c>
      <c r="B8" s="23">
        <f t="shared" si="0"/>
        <v>-0.4644577329951316</v>
      </c>
      <c r="C8" s="47">
        <f>E8-[1]Austria!E8</f>
        <v>-1910.5439660383072</v>
      </c>
      <c r="D8" s="1">
        <f>F8-[1]Austria!F8</f>
        <v>-2804.8486315609625</v>
      </c>
      <c r="E8" s="109">
        <v>12144.506462984724</v>
      </c>
      <c r="F8" s="1">
        <v>22677.027027027027</v>
      </c>
      <c r="G8" s="1">
        <v>28186.16736152472</v>
      </c>
      <c r="H8" s="1">
        <v>22124.79154258487</v>
      </c>
      <c r="I8" s="1">
        <v>17376.2</v>
      </c>
      <c r="J8" s="1">
        <v>19126</v>
      </c>
      <c r="K8" s="1">
        <v>22415.33</v>
      </c>
      <c r="L8" s="1">
        <f>9565+1305</f>
        <v>10870</v>
      </c>
      <c r="M8" s="1">
        <v>1371.6</v>
      </c>
      <c r="N8" s="1">
        <v>23364.29</v>
      </c>
      <c r="O8" s="1">
        <v>18248</v>
      </c>
      <c r="P8" s="1">
        <v>20857.189999999999</v>
      </c>
      <c r="Q8" s="1">
        <v>16041</v>
      </c>
      <c r="R8" s="1">
        <v>23225.18</v>
      </c>
      <c r="S8" s="1">
        <v>23769</v>
      </c>
      <c r="T8" s="1">
        <v>19088</v>
      </c>
      <c r="U8" s="1">
        <v>17434</v>
      </c>
      <c r="V8" s="1">
        <v>16396</v>
      </c>
      <c r="W8" s="25">
        <v>10852</v>
      </c>
    </row>
    <row r="9" spans="1:23" x14ac:dyDescent="0.25">
      <c r="A9" s="16" t="s">
        <v>14</v>
      </c>
      <c r="B9" s="23" t="str">
        <f t="shared" si="0"/>
        <v/>
      </c>
      <c r="C9" s="47">
        <f>E9-[1]Austria!E9</f>
        <v>0</v>
      </c>
      <c r="D9" s="1">
        <f>F9-[1]Austria!F9</f>
        <v>0</v>
      </c>
      <c r="E9" s="109"/>
      <c r="F9" s="1"/>
      <c r="G9" s="1"/>
      <c r="H9" s="1"/>
      <c r="I9" s="1"/>
      <c r="J9" s="1"/>
      <c r="K9" s="1">
        <v>0</v>
      </c>
      <c r="L9" s="1">
        <v>0</v>
      </c>
      <c r="M9" s="1">
        <v>0</v>
      </c>
      <c r="N9" s="1">
        <v>0</v>
      </c>
      <c r="O9" s="1">
        <v>0</v>
      </c>
      <c r="P9" s="1"/>
      <c r="Q9" s="1"/>
      <c r="R9" s="1"/>
      <c r="S9" s="1">
        <v>0</v>
      </c>
      <c r="T9" s="1">
        <v>266</v>
      </c>
      <c r="U9" s="1">
        <v>136</v>
      </c>
      <c r="V9" s="1">
        <v>534</v>
      </c>
      <c r="W9" s="25">
        <v>314</v>
      </c>
    </row>
    <row r="10" spans="1:23" x14ac:dyDescent="0.25">
      <c r="A10" s="16" t="s">
        <v>3</v>
      </c>
      <c r="B10" s="23">
        <f t="shared" si="0"/>
        <v>-0.43418277903402025</v>
      </c>
      <c r="C10" s="47">
        <f>E10-[1]Austria!E10</f>
        <v>-614.39290149832232</v>
      </c>
      <c r="D10" s="1">
        <f>F10-[1]Austria!F10</f>
        <v>-1135.7017573962148</v>
      </c>
      <c r="E10" s="109">
        <v>12430.376028202114</v>
      </c>
      <c r="F10" s="1">
        <v>21968.889541715631</v>
      </c>
      <c r="G10" s="1">
        <v>25361.048243001787</v>
      </c>
      <c r="H10" s="1">
        <v>27978.648004764742</v>
      </c>
      <c r="I10" s="1">
        <v>30460.699999999997</v>
      </c>
      <c r="J10" s="1">
        <v>26312</v>
      </c>
      <c r="K10" s="1">
        <v>25515.48</v>
      </c>
      <c r="L10" s="1">
        <f>22628+706</f>
        <v>23334</v>
      </c>
      <c r="M10" s="1">
        <v>18004.25</v>
      </c>
      <c r="N10" s="1">
        <v>39852.019999999997</v>
      </c>
      <c r="O10" s="1">
        <v>47133</v>
      </c>
      <c r="P10" s="1">
        <v>32874.01</v>
      </c>
      <c r="Q10" s="1">
        <v>41874</v>
      </c>
      <c r="R10" s="1">
        <v>50308.11</v>
      </c>
      <c r="S10" s="1">
        <v>45971</v>
      </c>
      <c r="T10" s="1">
        <v>42076</v>
      </c>
      <c r="U10" s="1">
        <v>45633</v>
      </c>
      <c r="V10" s="1">
        <v>43868</v>
      </c>
      <c r="W10" s="25">
        <v>36928</v>
      </c>
    </row>
    <row r="11" spans="1:23" x14ac:dyDescent="0.25">
      <c r="A11" s="16" t="s">
        <v>17</v>
      </c>
      <c r="B11" s="23">
        <f t="shared" si="0"/>
        <v>-0.72331397025501587</v>
      </c>
      <c r="C11" s="47">
        <f>E11-[1]Austria!E11</f>
        <v>21.954831543872643</v>
      </c>
      <c r="D11" s="1">
        <f>F11-[1]Austria!F11</f>
        <v>-115.19750431304931</v>
      </c>
      <c r="E11" s="109">
        <v>197.29729729729729</v>
      </c>
      <c r="F11" s="1">
        <v>713.07285546415983</v>
      </c>
      <c r="G11" s="1">
        <v>1028.2310899344848</v>
      </c>
      <c r="H11" s="1">
        <v>713.93686718284698</v>
      </c>
      <c r="I11" s="1">
        <v>417.3</v>
      </c>
      <c r="J11" s="1">
        <v>405</v>
      </c>
      <c r="K11" s="1">
        <v>172.41</v>
      </c>
      <c r="L11" s="1">
        <v>97</v>
      </c>
      <c r="M11" s="80">
        <v>58.86</v>
      </c>
      <c r="N11" s="80">
        <v>155.87</v>
      </c>
      <c r="O11" s="80">
        <v>748</v>
      </c>
      <c r="P11" s="80">
        <v>179.85</v>
      </c>
      <c r="Q11" s="80">
        <v>82</v>
      </c>
      <c r="R11" s="80">
        <v>155</v>
      </c>
      <c r="S11" s="80">
        <v>205</v>
      </c>
      <c r="T11" s="80">
        <v>50</v>
      </c>
      <c r="U11" s="80">
        <v>79</v>
      </c>
      <c r="V11" s="1"/>
      <c r="W11" s="25"/>
    </row>
    <row r="12" spans="1:23" x14ac:dyDescent="0.25">
      <c r="A12" s="17" t="s">
        <v>10</v>
      </c>
      <c r="B12" s="23">
        <f t="shared" si="0"/>
        <v>-0.73373297223828216</v>
      </c>
      <c r="C12" s="47">
        <f>E12-[1]Austria!E12</f>
        <v>-10.243091824390149</v>
      </c>
      <c r="D12" s="1">
        <f>F12-[1]Austria!F12</f>
        <v>-38.27854895454675</v>
      </c>
      <c r="E12" s="109">
        <v>771.18096357226796</v>
      </c>
      <c r="F12" s="1">
        <v>2896.2690951821387</v>
      </c>
      <c r="G12" s="1">
        <v>5000.5955926146517</v>
      </c>
      <c r="H12" s="1">
        <v>3861.9714115544966</v>
      </c>
      <c r="I12" s="1">
        <v>5534.8499999999995</v>
      </c>
      <c r="J12" s="1">
        <v>5949</v>
      </c>
      <c r="K12" s="1">
        <v>10339.379999999999</v>
      </c>
      <c r="L12" s="1">
        <f>3935+152</f>
        <v>4087</v>
      </c>
      <c r="M12" s="80">
        <v>296.86</v>
      </c>
      <c r="N12" s="80">
        <v>15147.619999999999</v>
      </c>
      <c r="O12" s="80">
        <v>15167</v>
      </c>
      <c r="P12" s="80">
        <v>18185.88</v>
      </c>
      <c r="Q12" s="80">
        <v>14063</v>
      </c>
      <c r="R12" s="80">
        <v>19877.22</v>
      </c>
      <c r="S12" s="80">
        <v>20587</v>
      </c>
      <c r="T12" s="80">
        <v>22162</v>
      </c>
      <c r="U12" s="80">
        <v>19267</v>
      </c>
      <c r="V12" s="1">
        <v>19607</v>
      </c>
      <c r="W12" s="25">
        <v>20323</v>
      </c>
    </row>
    <row r="13" spans="1:23" x14ac:dyDescent="0.25">
      <c r="A13" s="17" t="s">
        <v>27</v>
      </c>
      <c r="B13" s="23">
        <f t="shared" si="0"/>
        <v>0.1832354064722681</v>
      </c>
      <c r="C13" s="47">
        <f>E13-[1]Austria!E13</f>
        <v>-95.874375773125166</v>
      </c>
      <c r="D13" s="1">
        <f>F13-[1]Austria!F13</f>
        <v>-310.98408014727238</v>
      </c>
      <c r="E13" s="109">
        <v>1910.8695652173913</v>
      </c>
      <c r="F13" s="1">
        <v>1614.9529964747358</v>
      </c>
      <c r="G13" s="1">
        <v>4419.8183442525315</v>
      </c>
      <c r="H13" s="1">
        <v>3400.7891602144132</v>
      </c>
      <c r="I13" s="1">
        <v>2375.65</v>
      </c>
      <c r="J13" s="1">
        <v>5164</v>
      </c>
      <c r="K13" s="1">
        <v>7782.67</v>
      </c>
      <c r="L13" s="1">
        <f>2722+148</f>
        <v>2870</v>
      </c>
      <c r="M13" s="80">
        <v>1142.98</v>
      </c>
      <c r="N13" s="80">
        <v>7858.59</v>
      </c>
      <c r="O13" s="80">
        <v>8748</v>
      </c>
      <c r="P13" s="80">
        <v>7915.84</v>
      </c>
      <c r="Q13" s="80">
        <v>6771</v>
      </c>
      <c r="R13" s="80">
        <v>11553</v>
      </c>
      <c r="S13" s="80">
        <v>10209</v>
      </c>
      <c r="T13" s="80">
        <v>10918</v>
      </c>
      <c r="U13" s="80">
        <v>7103</v>
      </c>
      <c r="V13" s="1">
        <v>8669</v>
      </c>
      <c r="W13" s="25">
        <v>9756</v>
      </c>
    </row>
    <row r="14" spans="1:23" x14ac:dyDescent="0.25">
      <c r="A14" s="16" t="s">
        <v>26</v>
      </c>
      <c r="B14" s="23" t="str">
        <f t="shared" si="0"/>
        <v/>
      </c>
      <c r="C14" s="47">
        <f>E14-[1]Austria!E14</f>
        <v>0</v>
      </c>
      <c r="D14" s="1">
        <f>F14-[1]Austria!F14</f>
        <v>0</v>
      </c>
      <c r="E14" s="109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80">
        <v>39.24</v>
      </c>
      <c r="N14" s="80">
        <v>2613.8200000000002</v>
      </c>
      <c r="O14" s="80">
        <v>3198</v>
      </c>
      <c r="P14" s="80">
        <v>3317.96</v>
      </c>
      <c r="Q14" s="80">
        <v>2578</v>
      </c>
      <c r="R14" s="80">
        <v>5110</v>
      </c>
      <c r="S14" s="80">
        <v>4169</v>
      </c>
      <c r="T14" s="80">
        <v>5126</v>
      </c>
      <c r="U14" s="80">
        <v>4114</v>
      </c>
      <c r="V14" s="1"/>
      <c r="W14" s="25"/>
    </row>
    <row r="15" spans="1:23" x14ac:dyDescent="0.25">
      <c r="A15" s="16" t="s">
        <v>95</v>
      </c>
      <c r="B15" s="23">
        <f t="shared" si="0"/>
        <v>-0.47221787447174846</v>
      </c>
      <c r="C15" s="47">
        <f>E15-[1]Austria!E15</f>
        <v>-494.20656609459468</v>
      </c>
      <c r="D15" s="1">
        <f>F15-[1]Austria!F15</f>
        <v>-433.9580083326357</v>
      </c>
      <c r="E15" s="109">
        <v>693.41950646298471</v>
      </c>
      <c r="F15" s="1">
        <v>1313.8366627497064</v>
      </c>
      <c r="G15" s="1">
        <v>950.878499106611</v>
      </c>
      <c r="H15" s="1">
        <v>1197.215604526504</v>
      </c>
      <c r="I15" s="1">
        <v>726</v>
      </c>
      <c r="J15" s="1">
        <v>373</v>
      </c>
      <c r="K15" s="1">
        <v>454.63</v>
      </c>
      <c r="L15" s="1">
        <v>38</v>
      </c>
      <c r="M15" s="80">
        <v>10.9</v>
      </c>
      <c r="N15" s="80">
        <v>143.88</v>
      </c>
      <c r="O15" s="80">
        <v>32</v>
      </c>
      <c r="P15" s="80">
        <v>86.02</v>
      </c>
      <c r="Q15" s="80">
        <v>19</v>
      </c>
      <c r="R15" s="80">
        <v>130</v>
      </c>
      <c r="S15" s="80">
        <v>32</v>
      </c>
      <c r="T15" s="80">
        <v>75</v>
      </c>
      <c r="U15" s="80">
        <v>12</v>
      </c>
      <c r="V15" s="1">
        <v>166</v>
      </c>
      <c r="W15" s="25">
        <v>202</v>
      </c>
    </row>
    <row r="16" spans="1:23" x14ac:dyDescent="0.25">
      <c r="A16" s="16" t="s">
        <v>13</v>
      </c>
      <c r="B16" s="23">
        <f t="shared" si="0"/>
        <v>-0.17788396408822782</v>
      </c>
      <c r="C16" s="47">
        <f>E16-[1]Austria!E16</f>
        <v>-524.09375551126595</v>
      </c>
      <c r="D16" s="1">
        <f>F16-[1]Austria!F16</f>
        <v>-468.6409521132573</v>
      </c>
      <c r="E16" s="109">
        <v>3922.1504112808461</v>
      </c>
      <c r="F16" s="1">
        <v>4770.7990599294953</v>
      </c>
      <c r="G16" s="1">
        <v>6200.5955926146517</v>
      </c>
      <c r="H16" s="1">
        <v>4180.434782608696</v>
      </c>
      <c r="I16" s="1">
        <v>728.55000000000007</v>
      </c>
      <c r="J16" s="1">
        <v>974</v>
      </c>
      <c r="K16" s="1">
        <v>1754.22</v>
      </c>
      <c r="L16" s="1">
        <f>311+52</f>
        <v>363</v>
      </c>
      <c r="M16" s="80">
        <v>405.03</v>
      </c>
      <c r="N16" s="80">
        <v>1557.84</v>
      </c>
      <c r="O16" s="80">
        <v>1957</v>
      </c>
      <c r="P16" s="80">
        <v>1908.42</v>
      </c>
      <c r="Q16" s="80">
        <v>1830</v>
      </c>
      <c r="R16" s="80">
        <v>1905</v>
      </c>
      <c r="S16" s="80">
        <v>2362</v>
      </c>
      <c r="T16" s="80">
        <v>2584</v>
      </c>
      <c r="U16" s="80">
        <v>2084</v>
      </c>
      <c r="V16" s="1"/>
      <c r="W16" s="25"/>
    </row>
    <row r="17" spans="1:24" x14ac:dyDescent="0.25">
      <c r="A17" s="122" t="s">
        <v>134</v>
      </c>
      <c r="B17" s="23">
        <f t="shared" si="0"/>
        <v>-0.48353282605870718</v>
      </c>
      <c r="C17" s="47">
        <f>E17-[1]Austria!E17</f>
        <v>-405.89879913882282</v>
      </c>
      <c r="D17" s="1">
        <f>F17-[1]Austria!F17</f>
        <v>-70.316858985709132</v>
      </c>
      <c r="E17" s="109">
        <v>1050.822561692127</v>
      </c>
      <c r="F17" s="1">
        <v>2034.6357226792011</v>
      </c>
      <c r="G17" s="1">
        <v>4143.9398451459192</v>
      </c>
      <c r="H17" s="1">
        <v>2111.1078022632519</v>
      </c>
      <c r="I17" s="1">
        <v>1648</v>
      </c>
      <c r="J17" s="1">
        <v>2059</v>
      </c>
      <c r="K17" s="1">
        <v>1782.15</v>
      </c>
      <c r="L17" s="1">
        <v>504</v>
      </c>
      <c r="M17" s="80"/>
      <c r="N17" s="80"/>
      <c r="O17" s="80"/>
      <c r="P17" s="80"/>
      <c r="Q17" s="80"/>
      <c r="R17" s="80"/>
      <c r="S17" s="80"/>
      <c r="T17" s="80"/>
      <c r="U17" s="80"/>
      <c r="V17" s="1"/>
      <c r="W17" s="25"/>
    </row>
    <row r="18" spans="1:24" x14ac:dyDescent="0.25">
      <c r="A18" s="122" t="s">
        <v>115</v>
      </c>
      <c r="B18" s="23" t="str">
        <f t="shared" si="0"/>
        <v/>
      </c>
      <c r="C18" s="47">
        <f>E18-[1]Austria!E18</f>
        <v>0</v>
      </c>
      <c r="D18" s="1">
        <f>F18-[1]Austria!F18</f>
        <v>0</v>
      </c>
      <c r="E18" s="109"/>
      <c r="F18" s="1"/>
      <c r="G18" s="1"/>
      <c r="H18" s="1"/>
      <c r="I18" s="1">
        <v>54.6</v>
      </c>
      <c r="J18" s="1">
        <v>5</v>
      </c>
      <c r="K18" s="1">
        <v>52.33</v>
      </c>
      <c r="L18" s="1">
        <v>9</v>
      </c>
      <c r="M18" s="1">
        <v>0</v>
      </c>
      <c r="N18" s="1">
        <v>33.79</v>
      </c>
      <c r="O18" s="1">
        <v>17</v>
      </c>
      <c r="P18" s="1">
        <v>33.79</v>
      </c>
      <c r="Q18" s="1">
        <v>0</v>
      </c>
      <c r="R18" s="1">
        <v>147</v>
      </c>
      <c r="S18" s="1">
        <v>87</v>
      </c>
      <c r="T18" s="1">
        <v>183</v>
      </c>
      <c r="U18" s="1">
        <v>131</v>
      </c>
      <c r="V18" s="1">
        <v>312</v>
      </c>
      <c r="W18" s="25">
        <v>299</v>
      </c>
    </row>
    <row r="19" spans="1:24" x14ac:dyDescent="0.25">
      <c r="A19" s="16" t="s">
        <v>96</v>
      </c>
      <c r="B19" s="23">
        <f t="shared" si="0"/>
        <v>-0.12542032234375611</v>
      </c>
      <c r="C19" s="47">
        <f>E19-[1]Austria!E19</f>
        <v>-432.08890975418672</v>
      </c>
      <c r="D19" s="1">
        <f>F19-[1]Austria!F19</f>
        <v>-178.47737552919193</v>
      </c>
      <c r="E19" s="109">
        <v>1329.4947121034077</v>
      </c>
      <c r="F19" s="1">
        <v>1520.1527614571094</v>
      </c>
      <c r="G19" s="1">
        <v>3305.8368076235856</v>
      </c>
      <c r="H19" s="1">
        <v>1995.2799285288863</v>
      </c>
      <c r="I19" s="1">
        <v>888.15</v>
      </c>
      <c r="J19" s="1">
        <v>2115</v>
      </c>
      <c r="K19" s="1">
        <v>5001.42</v>
      </c>
      <c r="L19" s="1">
        <f>87+640</f>
        <v>727</v>
      </c>
      <c r="M19" s="1">
        <v>601.72</v>
      </c>
      <c r="N19" s="1">
        <v>4359.68</v>
      </c>
      <c r="O19" s="1">
        <v>3813</v>
      </c>
      <c r="P19" s="1">
        <v>3889.9</v>
      </c>
      <c r="Q19" s="1">
        <v>1446</v>
      </c>
      <c r="R19" s="1"/>
      <c r="S19" s="1">
        <v>3366</v>
      </c>
      <c r="T19" s="1">
        <v>4206</v>
      </c>
      <c r="U19" s="1">
        <v>229</v>
      </c>
      <c r="V19" s="1"/>
      <c r="W19" s="25"/>
    </row>
    <row r="20" spans="1:24" ht="13.8" thickBot="1" x14ac:dyDescent="0.3">
      <c r="A20" s="18" t="s">
        <v>59</v>
      </c>
      <c r="B20" s="24">
        <f t="shared" si="0"/>
        <v>-0.24477635447291057</v>
      </c>
      <c r="C20" s="48">
        <f>E20-[1]Austria!E20</f>
        <v>-431.51579116439189</v>
      </c>
      <c r="D20" s="9">
        <f>F20-[1]Austria!F20</f>
        <v>-653.81038644886212</v>
      </c>
      <c r="E20" s="126">
        <v>5071.2690951821387</v>
      </c>
      <c r="F20" s="9">
        <v>6714.9236192714452</v>
      </c>
      <c r="G20" s="9">
        <v>6829.6902918403812</v>
      </c>
      <c r="H20" s="9">
        <v>3762.6265634306133</v>
      </c>
      <c r="I20" s="9">
        <v>2752.15</v>
      </c>
      <c r="J20" s="9">
        <v>1732</v>
      </c>
      <c r="K20" s="9">
        <v>1619.24</v>
      </c>
      <c r="L20" s="9">
        <f>60+155</f>
        <v>215</v>
      </c>
      <c r="M20" s="81">
        <v>347.99</v>
      </c>
      <c r="N20" s="81">
        <v>355.8</v>
      </c>
      <c r="O20" s="81">
        <v>412</v>
      </c>
      <c r="P20" s="81">
        <v>1786.48</v>
      </c>
      <c r="Q20" s="81">
        <v>435</v>
      </c>
      <c r="R20" s="81">
        <v>4830</v>
      </c>
      <c r="S20" s="81">
        <v>1721</v>
      </c>
      <c r="T20" s="81">
        <v>454</v>
      </c>
      <c r="U20" s="81">
        <v>232</v>
      </c>
      <c r="V20" s="9">
        <v>10334</v>
      </c>
      <c r="W20" s="27">
        <v>9020</v>
      </c>
    </row>
    <row r="21" spans="1:24" ht="13.8" thickBot="1" x14ac:dyDescent="0.3">
      <c r="A21" s="28" t="s">
        <v>23</v>
      </c>
      <c r="B21" s="29">
        <f t="shared" si="0"/>
        <v>-0.35550315078101513</v>
      </c>
      <c r="C21" s="49">
        <f>E21-[1]Austria!E21</f>
        <v>-5931.5538050797186</v>
      </c>
      <c r="D21" s="30">
        <f>F21-[1]Austria!F21</f>
        <v>-8306.5138940064498</v>
      </c>
      <c r="E21" s="102">
        <f t="shared" ref="E21:K21" si="1">SUM(E2:E20)</f>
        <v>54418.860164512342</v>
      </c>
      <c r="F21" s="30">
        <f t="shared" si="1"/>
        <v>84436.192714453588</v>
      </c>
      <c r="G21" s="30">
        <f t="shared" si="1"/>
        <v>111244.63966646814</v>
      </c>
      <c r="H21" s="30">
        <f t="shared" si="1"/>
        <v>89801.310303752238</v>
      </c>
      <c r="I21" s="30">
        <f t="shared" si="1"/>
        <v>86897.299999999988</v>
      </c>
      <c r="J21" s="30">
        <f t="shared" si="1"/>
        <v>86587</v>
      </c>
      <c r="K21" s="30">
        <f t="shared" si="1"/>
        <v>105129.14000000001</v>
      </c>
      <c r="L21" s="30">
        <f t="shared" ref="L21:Q21" si="2">SUM(L2:L20)</f>
        <v>55219</v>
      </c>
      <c r="M21" s="30">
        <f t="shared" si="2"/>
        <v>27726.650000000005</v>
      </c>
      <c r="N21" s="30">
        <f t="shared" si="2"/>
        <v>119410.09999999999</v>
      </c>
      <c r="O21" s="30">
        <f t="shared" si="2"/>
        <v>123349</v>
      </c>
      <c r="P21" s="30">
        <f t="shared" si="2"/>
        <v>113206.86</v>
      </c>
      <c r="Q21" s="30">
        <f t="shared" si="2"/>
        <v>103699</v>
      </c>
      <c r="R21" s="30">
        <f t="shared" ref="R21:W21" si="3">SUM(R2:R20)</f>
        <v>143411.37</v>
      </c>
      <c r="S21" s="30">
        <f t="shared" si="3"/>
        <v>134492</v>
      </c>
      <c r="T21" s="30">
        <f t="shared" si="3"/>
        <v>131438</v>
      </c>
      <c r="U21" s="30">
        <f t="shared" si="3"/>
        <v>116170</v>
      </c>
      <c r="V21" s="30">
        <f t="shared" si="3"/>
        <v>117438</v>
      </c>
      <c r="W21" s="31">
        <f t="shared" si="3"/>
        <v>103971</v>
      </c>
    </row>
    <row r="22" spans="1:24" x14ac:dyDescent="0.25">
      <c r="B22" s="32" t="str">
        <f t="shared" si="0"/>
        <v/>
      </c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</row>
    <row r="23" spans="1:24" x14ac:dyDescent="0.25">
      <c r="B23" t="str">
        <f t="shared" si="0"/>
        <v/>
      </c>
      <c r="S23" s="1"/>
    </row>
    <row r="24" spans="1:24" x14ac:dyDescent="0.25">
      <c r="B24" t="str">
        <f t="shared" si="0"/>
        <v/>
      </c>
    </row>
    <row r="25" spans="1:24" x14ac:dyDescent="0.25">
      <c r="B25" t="str">
        <f t="shared" si="0"/>
        <v/>
      </c>
    </row>
    <row r="26" spans="1:24" x14ac:dyDescent="0.25">
      <c r="B26" t="str">
        <f t="shared" si="0"/>
        <v/>
      </c>
    </row>
    <row r="27" spans="1:24" ht="17.399999999999999" x14ac:dyDescent="0.3">
      <c r="B27" t="str">
        <f t="shared" si="0"/>
        <v/>
      </c>
      <c r="V27" s="5"/>
      <c r="W27" s="1"/>
      <c r="X27" s="1"/>
    </row>
    <row r="28" spans="1:24" ht="17.399999999999999" x14ac:dyDescent="0.3">
      <c r="B28" t="str">
        <f t="shared" si="0"/>
        <v/>
      </c>
      <c r="V28" s="5"/>
      <c r="W28" s="1"/>
      <c r="X28" s="1"/>
    </row>
    <row r="29" spans="1:24" ht="17.399999999999999" x14ac:dyDescent="0.3">
      <c r="B29" t="str">
        <f t="shared" si="0"/>
        <v/>
      </c>
      <c r="V29" s="5"/>
      <c r="W29" s="1"/>
      <c r="X29" s="1"/>
    </row>
    <row r="30" spans="1:24" ht="17.399999999999999" x14ac:dyDescent="0.3">
      <c r="B30" t="str">
        <f t="shared" si="0"/>
        <v/>
      </c>
      <c r="V30" s="5"/>
      <c r="W30" s="1"/>
      <c r="X30" s="1"/>
    </row>
    <row r="31" spans="1:24" ht="17.399999999999999" x14ac:dyDescent="0.3">
      <c r="B31" t="str">
        <f t="shared" si="0"/>
        <v/>
      </c>
      <c r="V31" s="5"/>
      <c r="W31" s="1"/>
      <c r="X31" s="1"/>
    </row>
    <row r="32" spans="1:24" ht="17.399999999999999" x14ac:dyDescent="0.3">
      <c r="B32" t="str">
        <f t="shared" si="0"/>
        <v/>
      </c>
      <c r="V32" s="5"/>
      <c r="W32" s="1"/>
      <c r="X32" s="1"/>
    </row>
    <row r="33" spans="2:24" ht="17.399999999999999" x14ac:dyDescent="0.3">
      <c r="B33" t="str">
        <f t="shared" si="0"/>
        <v/>
      </c>
      <c r="V33" s="5"/>
      <c r="W33" s="1"/>
      <c r="X33" s="1"/>
    </row>
    <row r="34" spans="2:24" ht="17.399999999999999" x14ac:dyDescent="0.3">
      <c r="B34" t="str">
        <f t="shared" si="0"/>
        <v/>
      </c>
      <c r="V34" s="5"/>
      <c r="W34" s="1"/>
      <c r="X34" s="1"/>
    </row>
    <row r="35" spans="2:24" ht="17.399999999999999" x14ac:dyDescent="0.3">
      <c r="B35" t="str">
        <f t="shared" si="0"/>
        <v/>
      </c>
      <c r="V35" s="5"/>
      <c r="W35" s="1"/>
      <c r="X35" s="1"/>
    </row>
    <row r="36" spans="2:24" ht="17.399999999999999" x14ac:dyDescent="0.3">
      <c r="B36" t="str">
        <f t="shared" si="0"/>
        <v/>
      </c>
      <c r="V36" s="5"/>
      <c r="W36" s="1"/>
      <c r="X36" s="1"/>
    </row>
    <row r="37" spans="2:24" ht="17.399999999999999" x14ac:dyDescent="0.3">
      <c r="B37" t="str">
        <f t="shared" si="0"/>
        <v/>
      </c>
      <c r="V37" s="6"/>
      <c r="W37" s="1"/>
      <c r="X37" s="1"/>
    </row>
    <row r="38" spans="2:24" ht="18" x14ac:dyDescent="0.35">
      <c r="B38" t="str">
        <f t="shared" si="0"/>
        <v/>
      </c>
      <c r="V38" s="7"/>
      <c r="W38" s="2"/>
      <c r="X38" s="2"/>
    </row>
    <row r="39" spans="2:24" x14ac:dyDescent="0.25">
      <c r="B39" t="str">
        <f t="shared" si="0"/>
        <v/>
      </c>
    </row>
    <row r="40" spans="2:24" x14ac:dyDescent="0.25">
      <c r="B40" t="str">
        <f t="shared" si="0"/>
        <v/>
      </c>
    </row>
    <row r="41" spans="2:24" x14ac:dyDescent="0.25">
      <c r="B41" t="str">
        <f t="shared" si="0"/>
        <v/>
      </c>
    </row>
    <row r="42" spans="2:24" x14ac:dyDescent="0.25">
      <c r="B42" t="str">
        <f t="shared" si="0"/>
        <v/>
      </c>
    </row>
    <row r="43" spans="2:24" x14ac:dyDescent="0.25">
      <c r="B43" t="str">
        <f t="shared" si="0"/>
        <v/>
      </c>
    </row>
    <row r="44" spans="2:24" x14ac:dyDescent="0.25">
      <c r="B44" t="str">
        <f t="shared" si="0"/>
        <v/>
      </c>
    </row>
    <row r="45" spans="2:24" x14ac:dyDescent="0.25">
      <c r="B45" t="str">
        <f t="shared" si="0"/>
        <v/>
      </c>
    </row>
    <row r="46" spans="2:24" x14ac:dyDescent="0.25">
      <c r="B46" t="str">
        <f t="shared" si="0"/>
        <v/>
      </c>
    </row>
    <row r="47" spans="2:24" x14ac:dyDescent="0.25">
      <c r="B47" t="str">
        <f t="shared" si="0"/>
        <v/>
      </c>
    </row>
    <row r="48" spans="2:24" x14ac:dyDescent="0.25">
      <c r="B48" t="str">
        <f t="shared" si="0"/>
        <v/>
      </c>
    </row>
    <row r="49" spans="2:2" x14ac:dyDescent="0.25">
      <c r="B49" t="str">
        <f t="shared" si="0"/>
        <v/>
      </c>
    </row>
    <row r="50" spans="2:2" x14ac:dyDescent="0.25">
      <c r="B50" t="str">
        <f t="shared" si="0"/>
        <v/>
      </c>
    </row>
  </sheetData>
  <pageMargins left="0.75" right="0.75" top="1" bottom="1" header="0.5" footer="0.5"/>
  <pageSetup paperSize="9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X50"/>
  <sheetViews>
    <sheetView zoomScaleNormal="100" workbookViewId="0"/>
  </sheetViews>
  <sheetFormatPr defaultColWidth="9.109375" defaultRowHeight="13.2" x14ac:dyDescent="0.25"/>
  <cols>
    <col min="1" max="1" width="29.33203125" customWidth="1"/>
    <col min="2" max="2" width="10.6640625" customWidth="1"/>
    <col min="3" max="3" width="11.44140625" customWidth="1"/>
    <col min="4" max="12" width="11.33203125" customWidth="1"/>
    <col min="13" max="23" width="10.109375" bestFit="1" customWidth="1"/>
  </cols>
  <sheetData>
    <row r="1" spans="1:258" ht="13.8" thickBot="1" x14ac:dyDescent="0.3">
      <c r="A1" s="19" t="s">
        <v>24</v>
      </c>
      <c r="B1" s="20" t="s">
        <v>182</v>
      </c>
      <c r="C1" s="46" t="s">
        <v>183</v>
      </c>
      <c r="D1" s="79" t="s">
        <v>180</v>
      </c>
      <c r="E1" s="127">
        <v>45658</v>
      </c>
      <c r="F1" s="82">
        <v>45292</v>
      </c>
      <c r="G1" s="82">
        <v>44927</v>
      </c>
      <c r="H1" s="82">
        <v>44562</v>
      </c>
      <c r="I1" s="82">
        <v>44197</v>
      </c>
      <c r="J1" s="82">
        <v>43831</v>
      </c>
      <c r="K1" s="82">
        <v>43466</v>
      </c>
      <c r="L1" s="21">
        <v>43101</v>
      </c>
      <c r="M1" s="21">
        <v>42736</v>
      </c>
      <c r="N1" s="21">
        <v>42370</v>
      </c>
      <c r="O1" s="21">
        <v>42005</v>
      </c>
      <c r="P1" s="21">
        <v>41640</v>
      </c>
      <c r="Q1" s="21">
        <v>41275</v>
      </c>
      <c r="R1" s="21">
        <v>40909</v>
      </c>
      <c r="S1" s="21">
        <v>40544</v>
      </c>
      <c r="T1" s="21">
        <v>40179</v>
      </c>
      <c r="U1" s="21">
        <v>39814</v>
      </c>
      <c r="V1" s="21">
        <v>39448</v>
      </c>
      <c r="W1" s="22">
        <v>39083</v>
      </c>
    </row>
    <row r="2" spans="1:258" x14ac:dyDescent="0.25">
      <c r="A2" s="16" t="s">
        <v>4</v>
      </c>
      <c r="B2" s="23">
        <f>IFERROR((E2/F2-1), "")</f>
        <v>-7.2592051692612736E-2</v>
      </c>
      <c r="C2" s="47">
        <f>E2-[1]Belgium!E2</f>
        <v>-634.88817600981656</v>
      </c>
      <c r="D2" s="1">
        <f>F2-[1]Belgium!F2</f>
        <v>-1169.9338280552779</v>
      </c>
      <c r="E2" s="109">
        <v>1559.2556150489281</v>
      </c>
      <c r="F2" s="1">
        <v>1681.3049940910323</v>
      </c>
      <c r="G2" s="1">
        <v>2871.1798101727445</v>
      </c>
      <c r="H2" s="1">
        <v>3907.8760844461904</v>
      </c>
      <c r="I2" s="1">
        <v>3038</v>
      </c>
      <c r="J2" s="1">
        <v>648</v>
      </c>
      <c r="K2" s="1">
        <v>5247</v>
      </c>
      <c r="L2" s="1">
        <v>40</v>
      </c>
      <c r="M2" s="1">
        <v>645</v>
      </c>
      <c r="N2" s="1">
        <v>5101</v>
      </c>
      <c r="O2" s="1">
        <v>7163</v>
      </c>
      <c r="P2" s="1">
        <v>1950</v>
      </c>
      <c r="Q2" s="1">
        <v>561</v>
      </c>
      <c r="R2" s="1">
        <v>3030</v>
      </c>
      <c r="S2" s="1">
        <v>0</v>
      </c>
      <c r="T2" s="1">
        <v>1465</v>
      </c>
      <c r="U2" s="1">
        <v>3900</v>
      </c>
      <c r="V2" s="1">
        <v>5600</v>
      </c>
      <c r="W2" s="25">
        <v>6100</v>
      </c>
    </row>
    <row r="3" spans="1:258" x14ac:dyDescent="0.25">
      <c r="A3" s="16" t="s">
        <v>159</v>
      </c>
      <c r="B3" s="23" t="str">
        <f t="shared" ref="B3:B50" si="0">IFERROR((E3/F3-1), "")</f>
        <v/>
      </c>
      <c r="C3" s="47">
        <f>E3-[1]Belgium!E3</f>
        <v>0</v>
      </c>
      <c r="D3" s="1">
        <f>F3-[1]Belgium!F3</f>
        <v>0</v>
      </c>
      <c r="E3" s="109"/>
      <c r="F3" s="1"/>
      <c r="G3" s="1"/>
      <c r="H3" s="1"/>
      <c r="I3" s="1"/>
      <c r="J3" s="1"/>
      <c r="K3" s="1"/>
      <c r="L3" s="1"/>
      <c r="M3" s="1"/>
      <c r="N3" s="1"/>
      <c r="O3" s="1"/>
      <c r="P3" s="1">
        <v>85</v>
      </c>
      <c r="Q3" s="1">
        <v>0</v>
      </c>
      <c r="R3" s="1">
        <v>6</v>
      </c>
      <c r="S3" s="1">
        <v>0</v>
      </c>
      <c r="T3" s="1">
        <v>0</v>
      </c>
      <c r="U3" s="1">
        <v>200</v>
      </c>
      <c r="V3" s="1">
        <v>800</v>
      </c>
      <c r="W3" s="25">
        <v>600</v>
      </c>
    </row>
    <row r="4" spans="1:258" x14ac:dyDescent="0.25">
      <c r="A4" s="16" t="s">
        <v>2</v>
      </c>
      <c r="B4" s="23">
        <f t="shared" si="0"/>
        <v>-0.16241744842527395</v>
      </c>
      <c r="C4" s="47">
        <f>E4-[1]Belgium!E4</f>
        <v>550.9133187955722</v>
      </c>
      <c r="D4" s="1">
        <f>F4-[1]Belgium!F4</f>
        <v>-1763.2325595703096</v>
      </c>
      <c r="E4" s="109">
        <v>550.9133187955722</v>
      </c>
      <c r="F4" s="1">
        <v>657.7421148038585</v>
      </c>
      <c r="G4" s="1">
        <v>134</v>
      </c>
      <c r="H4" s="1">
        <v>882.29933035687816</v>
      </c>
      <c r="I4" s="1">
        <v>308</v>
      </c>
      <c r="J4" s="1">
        <v>438</v>
      </c>
      <c r="K4" s="1">
        <v>2368</v>
      </c>
      <c r="L4" s="1">
        <v>85</v>
      </c>
      <c r="M4" s="1">
        <v>261</v>
      </c>
      <c r="N4" s="1">
        <v>929</v>
      </c>
      <c r="O4" s="1">
        <v>2235</v>
      </c>
      <c r="P4" s="1">
        <v>507</v>
      </c>
      <c r="Q4" s="1">
        <v>598</v>
      </c>
      <c r="R4" s="1">
        <v>1240</v>
      </c>
      <c r="S4" s="1">
        <v>232</v>
      </c>
      <c r="T4" s="1">
        <v>0</v>
      </c>
      <c r="U4" s="1">
        <v>0</v>
      </c>
      <c r="V4" s="1">
        <v>1600</v>
      </c>
      <c r="W4" s="25">
        <v>1400</v>
      </c>
    </row>
    <row r="5" spans="1:258" x14ac:dyDescent="0.25">
      <c r="A5" s="16" t="s">
        <v>101</v>
      </c>
      <c r="B5" s="23" t="str">
        <f t="shared" si="0"/>
        <v/>
      </c>
      <c r="C5" s="47">
        <f>E5-[1]Belgium!E5</f>
        <v>-594.38724168440933</v>
      </c>
      <c r="D5" s="1">
        <f>F5-[1]Belgium!F5</f>
        <v>0</v>
      </c>
      <c r="E5" s="109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25">
        <v>700</v>
      </c>
    </row>
    <row r="6" spans="1:258" x14ac:dyDescent="0.25">
      <c r="A6" s="16" t="s">
        <v>3</v>
      </c>
      <c r="B6" s="23">
        <f t="shared" si="0"/>
        <v>-0.21626357914588001</v>
      </c>
      <c r="C6" s="47">
        <f>E6-[1]Belgium!E6</f>
        <v>-596.69910562633959</v>
      </c>
      <c r="D6" s="1">
        <f>F6-[1]Belgium!F6</f>
        <v>-4589.1864754923827</v>
      </c>
      <c r="E6" s="109">
        <v>8577.2434501095886</v>
      </c>
      <c r="F6" s="1">
        <v>10944.0409069698</v>
      </c>
      <c r="G6" s="1">
        <v>5162.7108627714697</v>
      </c>
      <c r="H6" s="1">
        <v>8412.5890432856431</v>
      </c>
      <c r="I6" s="1">
        <v>8509</v>
      </c>
      <c r="J6" s="1">
        <v>17497</v>
      </c>
      <c r="K6" s="1">
        <v>13453</v>
      </c>
      <c r="L6" s="1">
        <v>10410</v>
      </c>
      <c r="M6" s="1">
        <v>12555</v>
      </c>
      <c r="N6" s="1">
        <v>19091</v>
      </c>
      <c r="O6" s="1">
        <v>16295</v>
      </c>
      <c r="P6" s="1">
        <v>17535</v>
      </c>
      <c r="Q6" s="1">
        <v>14463</v>
      </c>
      <c r="R6" s="1">
        <v>13870</v>
      </c>
      <c r="S6" s="1">
        <v>10212</v>
      </c>
      <c r="T6" s="1">
        <v>20604</v>
      </c>
      <c r="U6" s="1">
        <v>14300</v>
      </c>
      <c r="V6" s="1">
        <v>16700</v>
      </c>
      <c r="W6" s="25">
        <v>16200</v>
      </c>
    </row>
    <row r="7" spans="1:258" x14ac:dyDescent="0.25">
      <c r="A7" s="17" t="s">
        <v>27</v>
      </c>
      <c r="B7" s="23">
        <f t="shared" si="0"/>
        <v>-0.30057061360733617</v>
      </c>
      <c r="C7" s="47">
        <f>E7-[1]Belgium!E7</f>
        <v>-14930.733569445394</v>
      </c>
      <c r="D7" s="1">
        <f>F7-[1]Belgium!F7</f>
        <v>-15496.287508434638</v>
      </c>
      <c r="E7" s="109">
        <v>31354.350276386678</v>
      </c>
      <c r="F7" s="1">
        <v>44828.47144598548</v>
      </c>
      <c r="G7" s="1">
        <v>36336.172556149308</v>
      </c>
      <c r="H7" s="1">
        <v>70260.676065728709</v>
      </c>
      <c r="I7" s="1">
        <v>34099</v>
      </c>
      <c r="J7" s="1">
        <v>53648</v>
      </c>
      <c r="K7" s="1">
        <v>49259</v>
      </c>
      <c r="L7" s="1">
        <v>4719</v>
      </c>
      <c r="M7" s="80">
        <v>42513</v>
      </c>
      <c r="N7" s="80">
        <v>69080</v>
      </c>
      <c r="O7" s="80">
        <v>79296</v>
      </c>
      <c r="P7" s="80">
        <v>50142</v>
      </c>
      <c r="Q7" s="80">
        <v>45885</v>
      </c>
      <c r="R7" s="80">
        <v>46840</v>
      </c>
      <c r="S7" s="80">
        <v>55542</v>
      </c>
      <c r="T7" s="80">
        <v>83462</v>
      </c>
      <c r="U7" s="80">
        <v>106300</v>
      </c>
      <c r="V7" s="1">
        <v>87500</v>
      </c>
      <c r="W7" s="25">
        <v>115000</v>
      </c>
    </row>
    <row r="8" spans="1:258" x14ac:dyDescent="0.25">
      <c r="A8" s="16" t="s">
        <v>26</v>
      </c>
      <c r="B8" s="23">
        <f t="shared" si="0"/>
        <v>1.8302920118189014E-2</v>
      </c>
      <c r="C8" s="141">
        <f>E8-[1]Belgium!E8</f>
        <v>-1120.9817610376977</v>
      </c>
      <c r="D8" s="1">
        <f>F8-[1]Belgium!F8</f>
        <v>-6836.3773123024566</v>
      </c>
      <c r="E8" s="109">
        <v>13355.372719843359</v>
      </c>
      <c r="F8" s="1">
        <v>13115.323992484742</v>
      </c>
      <c r="G8" s="1">
        <v>15463.789080721926</v>
      </c>
      <c r="H8" s="1">
        <v>23282.477965117989</v>
      </c>
      <c r="I8" s="1">
        <v>12251</v>
      </c>
      <c r="J8" s="1">
        <v>33072</v>
      </c>
      <c r="K8" s="1">
        <v>35855</v>
      </c>
      <c r="L8" s="1">
        <v>2610</v>
      </c>
      <c r="M8" s="80">
        <v>29899</v>
      </c>
      <c r="N8" s="80">
        <v>31734</v>
      </c>
      <c r="O8" s="80">
        <v>47417</v>
      </c>
      <c r="P8" s="80">
        <v>25635</v>
      </c>
      <c r="Q8" s="80">
        <v>30006</v>
      </c>
      <c r="R8" s="80">
        <v>33000</v>
      </c>
      <c r="S8" s="80">
        <v>26215</v>
      </c>
      <c r="T8" s="80">
        <v>31934</v>
      </c>
      <c r="U8" s="80">
        <v>38400</v>
      </c>
      <c r="V8" s="1">
        <v>36400</v>
      </c>
      <c r="W8" s="25">
        <v>34900</v>
      </c>
    </row>
    <row r="9" spans="1:258" ht="13.8" thickBot="1" x14ac:dyDescent="0.3">
      <c r="A9" s="18" t="s">
        <v>59</v>
      </c>
      <c r="B9" s="24">
        <f t="shared" si="0"/>
        <v>0.12152432975771288</v>
      </c>
      <c r="C9" s="48">
        <f>E9-[1]Belgium!E9</f>
        <v>-2545.25</v>
      </c>
      <c r="D9" s="9">
        <f>F9-[1]Belgium!F9</f>
        <v>-9972.8834543348967</v>
      </c>
      <c r="E9" s="126">
        <v>21056.75</v>
      </c>
      <c r="F9" s="9">
        <v>18775.116545665103</v>
      </c>
      <c r="G9" s="9">
        <v>21488</v>
      </c>
      <c r="H9" s="9">
        <v>19038</v>
      </c>
      <c r="I9" s="9">
        <v>20958</v>
      </c>
      <c r="J9" s="9">
        <v>14930</v>
      </c>
      <c r="K9" s="9">
        <v>24517</v>
      </c>
      <c r="L9" s="9">
        <v>3987</v>
      </c>
      <c r="M9" s="81">
        <v>2058</v>
      </c>
      <c r="N9" s="81">
        <v>21424</v>
      </c>
      <c r="O9" s="81">
        <v>15090</v>
      </c>
      <c r="P9" s="81">
        <v>11214</v>
      </c>
      <c r="Q9" s="81">
        <v>8592</v>
      </c>
      <c r="R9" s="81">
        <v>22000</v>
      </c>
      <c r="S9" s="81">
        <v>14156</v>
      </c>
      <c r="T9" s="81">
        <v>9608</v>
      </c>
      <c r="U9" s="81">
        <v>21400</v>
      </c>
      <c r="V9" s="9">
        <v>21700</v>
      </c>
      <c r="W9" s="27">
        <v>3100</v>
      </c>
    </row>
    <row r="10" spans="1:258" ht="13.8" thickBot="1" x14ac:dyDescent="0.3">
      <c r="A10" s="28" t="s">
        <v>23</v>
      </c>
      <c r="B10" s="29">
        <f t="shared" si="0"/>
        <v>-0.15053126174769316</v>
      </c>
      <c r="C10" s="49">
        <f>E10-[1]Belgium!E10</f>
        <v>-19872.026535008074</v>
      </c>
      <c r="D10" s="30">
        <f>F10-[1]Belgium!F10</f>
        <v>-39827.901138189976</v>
      </c>
      <c r="E10" s="102">
        <f t="shared" ref="E10:K10" si="1">SUM(E2:E9)</f>
        <v>76453.885380184132</v>
      </c>
      <c r="F10" s="30">
        <f t="shared" si="1"/>
        <v>90002.000000000015</v>
      </c>
      <c r="G10" s="30">
        <f t="shared" si="1"/>
        <v>81455.852309815455</v>
      </c>
      <c r="H10" s="30">
        <f t="shared" si="1"/>
        <v>125783.91848893541</v>
      </c>
      <c r="I10" s="30">
        <f t="shared" si="1"/>
        <v>79163</v>
      </c>
      <c r="J10" s="30">
        <f t="shared" si="1"/>
        <v>120233</v>
      </c>
      <c r="K10" s="30">
        <f t="shared" si="1"/>
        <v>130699</v>
      </c>
      <c r="L10" s="30">
        <f t="shared" ref="L10:Q10" si="2">SUM(L2:L9)</f>
        <v>21851</v>
      </c>
      <c r="M10" s="30">
        <f t="shared" si="2"/>
        <v>87931</v>
      </c>
      <c r="N10" s="30">
        <f t="shared" si="2"/>
        <v>147359</v>
      </c>
      <c r="O10" s="30">
        <f t="shared" si="2"/>
        <v>167496</v>
      </c>
      <c r="P10" s="30">
        <f t="shared" si="2"/>
        <v>107068</v>
      </c>
      <c r="Q10" s="30">
        <f t="shared" si="2"/>
        <v>100105</v>
      </c>
      <c r="R10" s="30">
        <f t="shared" ref="R10:W10" si="3">SUM(R2:R9)</f>
        <v>119986</v>
      </c>
      <c r="S10" s="30">
        <f t="shared" si="3"/>
        <v>106357</v>
      </c>
      <c r="T10" s="30">
        <f t="shared" si="3"/>
        <v>147073</v>
      </c>
      <c r="U10" s="30">
        <f t="shared" si="3"/>
        <v>184500</v>
      </c>
      <c r="V10" s="30">
        <f t="shared" si="3"/>
        <v>170300</v>
      </c>
      <c r="W10" s="31">
        <f t="shared" si="3"/>
        <v>178000</v>
      </c>
    </row>
    <row r="11" spans="1:258" x14ac:dyDescent="0.25">
      <c r="A11" t="s">
        <v>102</v>
      </c>
      <c r="B11" s="50" t="str">
        <f t="shared" si="0"/>
        <v/>
      </c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50"/>
      <c r="AO11" s="50"/>
      <c r="AP11" s="50"/>
      <c r="AQ11" s="50"/>
      <c r="AR11" s="50"/>
      <c r="AS11" s="50"/>
      <c r="AT11" s="50"/>
      <c r="AU11" s="50"/>
      <c r="AV11" s="50"/>
      <c r="AW11" s="50"/>
      <c r="AX11" s="50"/>
      <c r="AY11" s="50"/>
      <c r="AZ11" s="50"/>
      <c r="BA11" s="50"/>
      <c r="BB11" s="50"/>
      <c r="BC11" s="50"/>
      <c r="BD11" s="50"/>
      <c r="BE11" s="50"/>
      <c r="BF11" s="50"/>
      <c r="BG11" s="50"/>
      <c r="BH11" s="50"/>
      <c r="BI11" s="50"/>
      <c r="BJ11" s="50"/>
      <c r="BK11" s="50"/>
      <c r="BL11" s="50"/>
      <c r="BM11" s="50"/>
      <c r="BN11" s="50"/>
      <c r="BO11" s="50"/>
      <c r="BP11" s="50"/>
      <c r="BQ11" s="50"/>
      <c r="BR11" s="50"/>
      <c r="BS11" s="50"/>
      <c r="BT11" s="50"/>
      <c r="BU11" s="50"/>
      <c r="BV11" s="50"/>
      <c r="BW11" s="50"/>
      <c r="BX11" s="50"/>
      <c r="BY11" s="50"/>
      <c r="BZ11" s="50"/>
      <c r="CA11" s="50"/>
      <c r="CB11" s="50"/>
      <c r="CC11" s="50"/>
      <c r="CD11" s="50"/>
      <c r="CE11" s="50"/>
      <c r="CF11" s="50"/>
      <c r="CG11" s="50"/>
      <c r="CH11" s="50"/>
      <c r="CI11" s="50"/>
      <c r="CJ11" s="50"/>
      <c r="CK11" s="50"/>
      <c r="CL11" s="50"/>
      <c r="CM11" s="50"/>
      <c r="CN11" s="50"/>
      <c r="CO11" s="50"/>
      <c r="CP11" s="50"/>
      <c r="CQ11" s="50"/>
      <c r="CR11" s="50"/>
      <c r="CS11" s="50"/>
      <c r="CT11" s="50"/>
      <c r="CU11" s="50"/>
      <c r="CV11" s="50"/>
      <c r="CW11" s="50"/>
      <c r="CX11" s="50"/>
      <c r="CY11" s="50"/>
      <c r="CZ11" s="50"/>
      <c r="DA11" s="50"/>
      <c r="DB11" s="50"/>
      <c r="DC11" s="50"/>
      <c r="DD11" s="50"/>
      <c r="DE11" s="50"/>
      <c r="DF11" s="50"/>
      <c r="DG11" s="50"/>
      <c r="DH11" s="50"/>
      <c r="DI11" s="50"/>
      <c r="DJ11" s="50"/>
      <c r="DK11" s="50"/>
      <c r="DL11" s="50"/>
      <c r="DM11" s="50"/>
      <c r="DN11" s="50"/>
      <c r="DO11" s="50"/>
      <c r="DP11" s="50"/>
      <c r="DQ11" s="50"/>
      <c r="DR11" s="50"/>
      <c r="DS11" s="50"/>
      <c r="DT11" s="50"/>
      <c r="DU11" s="50"/>
      <c r="DV11" s="50"/>
      <c r="DW11" s="50"/>
      <c r="DX11" s="50"/>
      <c r="DY11" s="50"/>
      <c r="DZ11" s="50"/>
      <c r="EA11" s="50"/>
      <c r="EB11" s="50"/>
      <c r="EC11" s="50"/>
      <c r="ED11" s="50"/>
      <c r="EE11" s="50"/>
      <c r="EF11" s="50"/>
      <c r="EG11" s="50"/>
      <c r="EH11" s="50"/>
      <c r="EI11" s="50"/>
      <c r="EJ11" s="50"/>
      <c r="EK11" s="50"/>
      <c r="EL11" s="50"/>
      <c r="EM11" s="50"/>
      <c r="EN11" s="50"/>
      <c r="EO11" s="50"/>
      <c r="EP11" s="50"/>
      <c r="EQ11" s="50"/>
      <c r="ER11" s="50"/>
      <c r="ES11" s="50"/>
      <c r="ET11" s="50"/>
      <c r="EU11" s="50"/>
      <c r="EV11" s="50"/>
      <c r="EW11" s="50"/>
      <c r="EX11" s="50"/>
      <c r="EY11" s="50"/>
      <c r="EZ11" s="50"/>
      <c r="FA11" s="50"/>
      <c r="FB11" s="50"/>
      <c r="FC11" s="50"/>
      <c r="FD11" s="50"/>
      <c r="FE11" s="50"/>
      <c r="FF11" s="50"/>
      <c r="FG11" s="50"/>
      <c r="FH11" s="50"/>
      <c r="FI11" s="50"/>
      <c r="FJ11" s="50"/>
      <c r="FK11" s="50"/>
      <c r="FL11" s="50"/>
      <c r="FM11" s="50"/>
      <c r="FN11" s="50"/>
      <c r="FO11" s="50"/>
      <c r="FP11" s="50"/>
      <c r="FQ11" s="50"/>
      <c r="FR11" s="50"/>
      <c r="FS11" s="50"/>
      <c r="FT11" s="50"/>
      <c r="FU11" s="50"/>
      <c r="FV11" s="50"/>
      <c r="FW11" s="50"/>
      <c r="FX11" s="50"/>
      <c r="FY11" s="50"/>
      <c r="FZ11" s="50"/>
      <c r="GA11" s="50"/>
      <c r="GB11" s="50"/>
      <c r="GC11" s="50"/>
      <c r="GD11" s="50"/>
      <c r="GE11" s="50"/>
      <c r="GF11" s="50"/>
      <c r="GG11" s="50"/>
      <c r="GH11" s="50"/>
      <c r="GI11" s="50"/>
      <c r="GJ11" s="50"/>
      <c r="GK11" s="50"/>
      <c r="GL11" s="50"/>
      <c r="GM11" s="50"/>
      <c r="GN11" s="50"/>
      <c r="GO11" s="50"/>
      <c r="GP11" s="50"/>
      <c r="GQ11" s="50"/>
      <c r="GR11" s="50"/>
      <c r="GS11" s="50"/>
      <c r="GT11" s="50"/>
      <c r="GU11" s="50"/>
      <c r="GV11" s="50"/>
      <c r="GW11" s="50"/>
      <c r="GX11" s="50"/>
      <c r="GY11" s="50"/>
      <c r="GZ11" s="50"/>
      <c r="HA11" s="50"/>
      <c r="HB11" s="50"/>
      <c r="HC11" s="50"/>
      <c r="HD11" s="50"/>
      <c r="HE11" s="50"/>
      <c r="HF11" s="50"/>
      <c r="HG11" s="50"/>
      <c r="HH11" s="50"/>
      <c r="HI11" s="50"/>
      <c r="HJ11" s="50"/>
      <c r="HK11" s="50"/>
      <c r="HL11" s="50"/>
      <c r="HM11" s="50"/>
      <c r="HN11" s="50"/>
      <c r="HO11" s="50"/>
      <c r="HP11" s="50"/>
      <c r="HQ11" s="50"/>
      <c r="HR11" s="50"/>
      <c r="HS11" s="50"/>
      <c r="HT11" s="50"/>
      <c r="HU11" s="50"/>
      <c r="HV11" s="50"/>
      <c r="HW11" s="50"/>
      <c r="HX11" s="50"/>
      <c r="HY11" s="50"/>
      <c r="HZ11" s="50"/>
      <c r="IA11" s="50"/>
      <c r="IB11" s="50"/>
      <c r="IC11" s="50"/>
      <c r="ID11" s="50"/>
      <c r="IE11" s="50"/>
      <c r="IF11" s="50"/>
      <c r="IG11" s="50"/>
      <c r="IH11" s="50"/>
      <c r="II11" s="50"/>
      <c r="IJ11" s="50"/>
      <c r="IK11" s="50"/>
      <c r="IL11" s="50"/>
      <c r="IM11" s="50"/>
      <c r="IN11" s="50"/>
      <c r="IO11" s="50"/>
      <c r="IP11" s="50"/>
      <c r="IQ11" s="50"/>
      <c r="IR11" s="50"/>
      <c r="IS11" s="50"/>
      <c r="IT11" s="50"/>
      <c r="IU11" s="50"/>
      <c r="IV11" s="50"/>
      <c r="IW11" s="50"/>
      <c r="IX11" s="50"/>
    </row>
    <row r="12" spans="1:258" x14ac:dyDescent="0.25">
      <c r="A12" s="50" t="s">
        <v>158</v>
      </c>
      <c r="B12" s="32" t="str">
        <f t="shared" si="0"/>
        <v/>
      </c>
      <c r="C12" s="32"/>
      <c r="D12" s="32"/>
      <c r="E12" s="32"/>
      <c r="F12" s="32"/>
      <c r="G12" s="32"/>
      <c r="H12" s="32"/>
      <c r="I12" s="32"/>
      <c r="J12" s="32"/>
      <c r="K12" s="32"/>
      <c r="L12" s="32"/>
    </row>
    <row r="13" spans="1:258" ht="13.8" thickBot="1" x14ac:dyDescent="0.3">
      <c r="B13" s="32" t="str">
        <f t="shared" si="0"/>
        <v/>
      </c>
      <c r="C13" s="32"/>
      <c r="D13" s="32"/>
      <c r="E13" s="32"/>
      <c r="F13" s="32"/>
      <c r="G13" s="32"/>
      <c r="H13" s="32"/>
      <c r="I13" s="32"/>
      <c r="J13" s="32"/>
      <c r="K13" s="32"/>
      <c r="L13" s="32"/>
    </row>
    <row r="14" spans="1:258" ht="13.8" thickBot="1" x14ac:dyDescent="0.3">
      <c r="A14" s="19" t="s">
        <v>25</v>
      </c>
      <c r="B14" s="20" t="s">
        <v>182</v>
      </c>
      <c r="C14" s="46" t="s">
        <v>183</v>
      </c>
      <c r="D14" s="79" t="s">
        <v>180</v>
      </c>
      <c r="E14" s="127">
        <v>45658</v>
      </c>
      <c r="F14" s="82">
        <v>45292</v>
      </c>
      <c r="G14" s="82">
        <v>44927</v>
      </c>
      <c r="H14" s="82">
        <v>44562</v>
      </c>
      <c r="I14" s="82">
        <v>44197</v>
      </c>
      <c r="J14" s="82">
        <v>43831</v>
      </c>
      <c r="K14" s="82">
        <v>43466</v>
      </c>
      <c r="L14" s="21">
        <v>43101</v>
      </c>
      <c r="M14" s="21">
        <v>42736</v>
      </c>
      <c r="N14" s="21">
        <v>42370</v>
      </c>
      <c r="O14" s="21">
        <f>O1</f>
        <v>42005</v>
      </c>
      <c r="P14" s="21">
        <v>41640</v>
      </c>
      <c r="Q14" s="21">
        <v>41275</v>
      </c>
      <c r="R14" s="21">
        <v>40909</v>
      </c>
      <c r="S14" s="21">
        <v>40544</v>
      </c>
      <c r="T14" s="21">
        <v>40179</v>
      </c>
      <c r="U14" s="21">
        <v>39814</v>
      </c>
      <c r="V14" s="21">
        <v>39448</v>
      </c>
      <c r="W14" s="22">
        <v>39083</v>
      </c>
    </row>
    <row r="15" spans="1:258" x14ac:dyDescent="0.25">
      <c r="A15" s="16" t="s">
        <v>7</v>
      </c>
      <c r="B15" s="23">
        <f t="shared" si="0"/>
        <v>-0.20143892328956958</v>
      </c>
      <c r="C15" s="47">
        <f>E15-[1]Belgium!E15</f>
        <v>-36103.754624846304</v>
      </c>
      <c r="D15" s="1">
        <f>F15-[1]Belgium!F15</f>
        <v>-74187.088276968367</v>
      </c>
      <c r="E15" s="109">
        <v>145789.236904858</v>
      </c>
      <c r="F15" s="1">
        <v>182564.91727022058</v>
      </c>
      <c r="G15" s="1">
        <v>162382.78069297576</v>
      </c>
      <c r="H15" s="1">
        <v>191007</v>
      </c>
      <c r="I15" s="1">
        <v>228959</v>
      </c>
      <c r="J15" s="1">
        <v>168860</v>
      </c>
      <c r="K15" s="1">
        <v>218791</v>
      </c>
      <c r="L15" s="1">
        <v>162211</v>
      </c>
      <c r="M15" s="1">
        <v>179321</v>
      </c>
      <c r="N15" s="1">
        <v>218681</v>
      </c>
      <c r="O15" s="1">
        <v>193692</v>
      </c>
      <c r="P15" s="1">
        <v>156318</v>
      </c>
      <c r="Q15" s="1">
        <v>110965</v>
      </c>
      <c r="R15" s="1">
        <v>143000</v>
      </c>
      <c r="S15" s="1">
        <v>121400</v>
      </c>
      <c r="T15" s="1">
        <v>111800</v>
      </c>
      <c r="U15" s="1">
        <v>52897</v>
      </c>
      <c r="V15" s="1">
        <v>109000</v>
      </c>
      <c r="W15" s="25">
        <v>121500</v>
      </c>
    </row>
    <row r="16" spans="1:258" x14ac:dyDescent="0.25">
      <c r="A16" s="16" t="s">
        <v>100</v>
      </c>
      <c r="B16" s="23">
        <f t="shared" si="0"/>
        <v>-0.80184846568818446</v>
      </c>
      <c r="C16" s="47">
        <f>E16-[1]Belgium!E16</f>
        <v>-1252.4222239683904</v>
      </c>
      <c r="D16" s="1">
        <f>F16-[1]Belgium!F16</f>
        <v>-2211.5194459431832</v>
      </c>
      <c r="E16" s="109">
        <v>415.07461890433785</v>
      </c>
      <c r="F16" s="1">
        <v>2094.7333077480362</v>
      </c>
      <c r="G16" s="1">
        <v>1830.4818576277271</v>
      </c>
      <c r="H16" s="1">
        <v>2591</v>
      </c>
      <c r="I16" s="1">
        <v>6019</v>
      </c>
      <c r="J16" s="1">
        <v>1709</v>
      </c>
      <c r="K16" s="1">
        <v>6386</v>
      </c>
      <c r="L16" s="1">
        <v>871</v>
      </c>
      <c r="M16" s="1">
        <v>3916</v>
      </c>
      <c r="N16" s="1">
        <v>9776</v>
      </c>
      <c r="O16" s="1">
        <v>8906</v>
      </c>
      <c r="P16" s="1">
        <v>6844</v>
      </c>
      <c r="Q16" s="1">
        <v>446</v>
      </c>
      <c r="R16" s="1">
        <v>4000</v>
      </c>
      <c r="S16" s="1">
        <v>2200</v>
      </c>
      <c r="T16" s="1">
        <v>6600</v>
      </c>
      <c r="U16" s="1">
        <v>0</v>
      </c>
      <c r="V16" s="1">
        <v>2900</v>
      </c>
      <c r="W16" s="25">
        <v>3800</v>
      </c>
    </row>
    <row r="17" spans="1:24" x14ac:dyDescent="0.25">
      <c r="A17" s="37" t="s">
        <v>163</v>
      </c>
      <c r="B17" s="23">
        <f t="shared" si="0"/>
        <v>-1</v>
      </c>
      <c r="C17" s="47">
        <f>E17-[1]Belgium!E17</f>
        <v>0</v>
      </c>
      <c r="D17" s="1">
        <f>F17-[1]Belgium!F17</f>
        <v>-35.870594145471159</v>
      </c>
      <c r="E17" s="109">
        <v>0</v>
      </c>
      <c r="F17" s="1">
        <v>16.129405854528844</v>
      </c>
      <c r="G17" s="1">
        <v>0</v>
      </c>
      <c r="H17" s="1"/>
      <c r="I17" s="1">
        <v>291</v>
      </c>
      <c r="J17" s="1">
        <v>368</v>
      </c>
      <c r="K17" s="1">
        <v>56</v>
      </c>
      <c r="L17" s="1">
        <v>0</v>
      </c>
      <c r="M17" s="1">
        <v>324</v>
      </c>
      <c r="N17" s="1"/>
      <c r="O17" s="1">
        <v>38</v>
      </c>
      <c r="P17" s="1">
        <v>300</v>
      </c>
      <c r="Q17" s="1"/>
      <c r="R17" s="1"/>
      <c r="S17" s="1"/>
      <c r="T17" s="1"/>
      <c r="U17" s="1"/>
      <c r="V17" s="1"/>
      <c r="W17" s="25"/>
    </row>
    <row r="18" spans="1:24" s="50" customFormat="1" x14ac:dyDescent="0.25">
      <c r="A18" s="37" t="s">
        <v>176</v>
      </c>
      <c r="B18" s="140">
        <f t="shared" si="0"/>
        <v>4.7208607462509224</v>
      </c>
      <c r="C18" s="142">
        <f>E18-[1]Belgium!E18</f>
        <v>-101.69781485632382</v>
      </c>
      <c r="D18" s="56">
        <f>F18-[1]Belgium!F18</f>
        <v>-1126.2558901014447</v>
      </c>
      <c r="E18" s="55">
        <v>748.67624187747617</v>
      </c>
      <c r="F18" s="56">
        <v>130.8677618779848</v>
      </c>
      <c r="G18" s="56">
        <v>2160.12605259769</v>
      </c>
      <c r="H18" s="56">
        <v>1774</v>
      </c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68"/>
    </row>
    <row r="19" spans="1:24" ht="13.8" thickBot="1" x14ac:dyDescent="0.3">
      <c r="A19" s="26" t="s">
        <v>6</v>
      </c>
      <c r="B19" s="24">
        <f t="shared" si="0"/>
        <v>-0.59966097998787549</v>
      </c>
      <c r="C19" s="48">
        <f>E19-[1]Belgium!E19</f>
        <v>-1989</v>
      </c>
      <c r="D19" s="9">
        <f>F19-[1]Belgium!F19</f>
        <v>-1782.8757335391215</v>
      </c>
      <c r="E19" s="126">
        <v>886</v>
      </c>
      <c r="F19" s="9">
        <v>2213.1242664608785</v>
      </c>
      <c r="G19" s="9">
        <v>4083</v>
      </c>
      <c r="H19" s="9">
        <v>2344</v>
      </c>
      <c r="I19" s="9">
        <v>2592</v>
      </c>
      <c r="J19" s="9">
        <v>3495</v>
      </c>
      <c r="K19" s="9">
        <v>5706</v>
      </c>
      <c r="L19" s="9">
        <v>1257</v>
      </c>
      <c r="M19" s="9">
        <v>1448</v>
      </c>
      <c r="N19" s="9">
        <v>1597</v>
      </c>
      <c r="O19" s="9">
        <v>4197</v>
      </c>
      <c r="P19" s="9">
        <v>3097</v>
      </c>
      <c r="Q19" s="9">
        <v>26</v>
      </c>
      <c r="R19" s="9">
        <v>400</v>
      </c>
      <c r="S19" s="9">
        <v>500</v>
      </c>
      <c r="T19" s="9">
        <v>0</v>
      </c>
      <c r="U19" s="9">
        <v>0</v>
      </c>
      <c r="V19" s="9">
        <v>1200</v>
      </c>
      <c r="W19" s="27">
        <v>2800</v>
      </c>
    </row>
    <row r="20" spans="1:24" ht="13.8" thickBot="1" x14ac:dyDescent="0.3">
      <c r="A20" s="28" t="s">
        <v>23</v>
      </c>
      <c r="B20" s="29">
        <f t="shared" si="0"/>
        <v>-0.20950075933134094</v>
      </c>
      <c r="C20" s="49">
        <f>E20-[1]Belgium!E20</f>
        <v>-39446.874663671013</v>
      </c>
      <c r="D20" s="30">
        <f>F20-[1]Belgium!F20</f>
        <v>-79343.609940697555</v>
      </c>
      <c r="E20" s="102">
        <f t="shared" ref="E20:M20" si="4">SUM(E15:E19)</f>
        <v>147838.98776563982</v>
      </c>
      <c r="F20" s="30">
        <f t="shared" si="4"/>
        <v>187019.77201216202</v>
      </c>
      <c r="G20" s="30">
        <f t="shared" si="4"/>
        <v>170456.38860320117</v>
      </c>
      <c r="H20" s="30">
        <f t="shared" si="4"/>
        <v>197716</v>
      </c>
      <c r="I20" s="30">
        <f t="shared" si="4"/>
        <v>237861</v>
      </c>
      <c r="J20" s="30">
        <f t="shared" si="4"/>
        <v>174432</v>
      </c>
      <c r="K20" s="30">
        <f t="shared" si="4"/>
        <v>230939</v>
      </c>
      <c r="L20" s="30">
        <f t="shared" si="4"/>
        <v>164339</v>
      </c>
      <c r="M20" s="30">
        <f t="shared" si="4"/>
        <v>185009</v>
      </c>
      <c r="N20" s="30">
        <v>230054</v>
      </c>
      <c r="O20" s="30">
        <f>SUM(O15:O19)</f>
        <v>206833</v>
      </c>
      <c r="P20" s="30">
        <f>SUM(P15:P19)</f>
        <v>166559</v>
      </c>
      <c r="Q20" s="30">
        <f>SUM(Q15:Q19)</f>
        <v>111437</v>
      </c>
      <c r="R20" s="30">
        <f t="shared" ref="R20:W20" si="5">SUM(R15:R19)</f>
        <v>147400</v>
      </c>
      <c r="S20" s="30">
        <f t="shared" si="5"/>
        <v>124100</v>
      </c>
      <c r="T20" s="30">
        <f t="shared" si="5"/>
        <v>118400</v>
      </c>
      <c r="U20" s="30">
        <f t="shared" si="5"/>
        <v>52897</v>
      </c>
      <c r="V20" s="30">
        <f t="shared" si="5"/>
        <v>113100</v>
      </c>
      <c r="W20" s="31">
        <f t="shared" si="5"/>
        <v>128100</v>
      </c>
    </row>
    <row r="21" spans="1:24" x14ac:dyDescent="0.25">
      <c r="B21" t="str">
        <f t="shared" si="0"/>
        <v/>
      </c>
    </row>
    <row r="22" spans="1:24" x14ac:dyDescent="0.25">
      <c r="B22" t="str">
        <f t="shared" si="0"/>
        <v/>
      </c>
    </row>
    <row r="23" spans="1:24" x14ac:dyDescent="0.25">
      <c r="B23" t="str">
        <f t="shared" si="0"/>
        <v/>
      </c>
    </row>
    <row r="24" spans="1:24" x14ac:dyDescent="0.25">
      <c r="B24" t="str">
        <f t="shared" si="0"/>
        <v/>
      </c>
    </row>
    <row r="25" spans="1:24" x14ac:dyDescent="0.25">
      <c r="B25" t="str">
        <f t="shared" si="0"/>
        <v/>
      </c>
    </row>
    <row r="26" spans="1:24" x14ac:dyDescent="0.25">
      <c r="B26" t="str">
        <f t="shared" si="0"/>
        <v/>
      </c>
    </row>
    <row r="27" spans="1:24" ht="17.399999999999999" x14ac:dyDescent="0.3">
      <c r="B27" t="str">
        <f t="shared" si="0"/>
        <v/>
      </c>
      <c r="V27" s="5"/>
      <c r="W27" s="1"/>
      <c r="X27" s="1"/>
    </row>
    <row r="28" spans="1:24" ht="17.399999999999999" x14ac:dyDescent="0.3">
      <c r="B28" t="str">
        <f t="shared" si="0"/>
        <v/>
      </c>
      <c r="V28" s="5"/>
      <c r="W28" s="1"/>
      <c r="X28" s="1"/>
    </row>
    <row r="29" spans="1:24" ht="17.399999999999999" x14ac:dyDescent="0.3">
      <c r="B29" t="str">
        <f t="shared" si="0"/>
        <v/>
      </c>
      <c r="V29" s="5"/>
      <c r="W29" s="1"/>
      <c r="X29" s="1"/>
    </row>
    <row r="30" spans="1:24" ht="17.399999999999999" x14ac:dyDescent="0.3">
      <c r="B30" t="str">
        <f t="shared" si="0"/>
        <v/>
      </c>
      <c r="V30" s="5"/>
      <c r="W30" s="1"/>
      <c r="X30" s="1"/>
    </row>
    <row r="31" spans="1:24" ht="17.399999999999999" x14ac:dyDescent="0.3">
      <c r="B31" t="str">
        <f t="shared" si="0"/>
        <v/>
      </c>
      <c r="V31" s="5"/>
      <c r="W31" s="1"/>
      <c r="X31" s="1"/>
    </row>
    <row r="32" spans="1:24" ht="17.399999999999999" x14ac:dyDescent="0.3">
      <c r="B32" t="str">
        <f t="shared" si="0"/>
        <v/>
      </c>
      <c r="V32" s="5"/>
      <c r="W32" s="1"/>
      <c r="X32" s="1"/>
    </row>
    <row r="33" spans="2:24" ht="17.399999999999999" x14ac:dyDescent="0.3">
      <c r="B33" t="str">
        <f t="shared" si="0"/>
        <v/>
      </c>
      <c r="V33" s="5"/>
      <c r="W33" s="1"/>
      <c r="X33" s="1"/>
    </row>
    <row r="34" spans="2:24" ht="17.399999999999999" x14ac:dyDescent="0.3">
      <c r="B34" t="str">
        <f t="shared" si="0"/>
        <v/>
      </c>
      <c r="V34" s="5"/>
      <c r="W34" s="1"/>
      <c r="X34" s="1"/>
    </row>
    <row r="35" spans="2:24" ht="17.399999999999999" x14ac:dyDescent="0.3">
      <c r="B35" t="str">
        <f t="shared" si="0"/>
        <v/>
      </c>
      <c r="V35" s="5"/>
      <c r="W35" s="1"/>
      <c r="X35" s="1"/>
    </row>
    <row r="36" spans="2:24" ht="17.399999999999999" x14ac:dyDescent="0.3">
      <c r="B36" t="str">
        <f t="shared" si="0"/>
        <v/>
      </c>
      <c r="V36" s="5"/>
      <c r="W36" s="1"/>
      <c r="X36" s="1"/>
    </row>
    <row r="37" spans="2:24" ht="17.399999999999999" x14ac:dyDescent="0.3">
      <c r="B37" t="str">
        <f t="shared" si="0"/>
        <v/>
      </c>
      <c r="V37" s="6"/>
      <c r="W37" s="1"/>
      <c r="X37" s="1"/>
    </row>
    <row r="38" spans="2:24" ht="18" x14ac:dyDescent="0.35">
      <c r="B38" t="str">
        <f t="shared" si="0"/>
        <v/>
      </c>
      <c r="V38" s="7"/>
      <c r="W38" s="2"/>
      <c r="X38" s="2"/>
    </row>
    <row r="39" spans="2:24" x14ac:dyDescent="0.25">
      <c r="B39" t="str">
        <f t="shared" si="0"/>
        <v/>
      </c>
    </row>
    <row r="40" spans="2:24" x14ac:dyDescent="0.25">
      <c r="B40" t="str">
        <f t="shared" si="0"/>
        <v/>
      </c>
    </row>
    <row r="41" spans="2:24" x14ac:dyDescent="0.25">
      <c r="B41" t="str">
        <f t="shared" si="0"/>
        <v/>
      </c>
    </row>
    <row r="42" spans="2:24" x14ac:dyDescent="0.25">
      <c r="B42" t="str">
        <f t="shared" si="0"/>
        <v/>
      </c>
    </row>
    <row r="43" spans="2:24" x14ac:dyDescent="0.25">
      <c r="B43" t="str">
        <f t="shared" si="0"/>
        <v/>
      </c>
    </row>
    <row r="44" spans="2:24" x14ac:dyDescent="0.25">
      <c r="B44" t="str">
        <f t="shared" si="0"/>
        <v/>
      </c>
    </row>
    <row r="45" spans="2:24" x14ac:dyDescent="0.25">
      <c r="B45" t="str">
        <f t="shared" si="0"/>
        <v/>
      </c>
    </row>
    <row r="46" spans="2:24" x14ac:dyDescent="0.25">
      <c r="B46" t="str">
        <f t="shared" si="0"/>
        <v/>
      </c>
    </row>
    <row r="47" spans="2:24" x14ac:dyDescent="0.25">
      <c r="B47" t="str">
        <f t="shared" si="0"/>
        <v/>
      </c>
    </row>
    <row r="48" spans="2:24" x14ac:dyDescent="0.25">
      <c r="B48" t="str">
        <f t="shared" si="0"/>
        <v/>
      </c>
    </row>
    <row r="49" spans="2:2" x14ac:dyDescent="0.25">
      <c r="B49" t="str">
        <f t="shared" si="0"/>
        <v/>
      </c>
    </row>
    <row r="50" spans="2:2" x14ac:dyDescent="0.25">
      <c r="B50" t="str">
        <f t="shared" si="0"/>
        <v/>
      </c>
    </row>
  </sheetData>
  <pageMargins left="0.75" right="0.75" top="1" bottom="1" header="0.5" footer="0.5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W50"/>
  <sheetViews>
    <sheetView zoomScaleNormal="100" workbookViewId="0"/>
  </sheetViews>
  <sheetFormatPr defaultColWidth="9.109375" defaultRowHeight="13.2" x14ac:dyDescent="0.25"/>
  <cols>
    <col min="1" max="1" width="29.33203125" style="117" customWidth="1"/>
    <col min="2" max="2" width="10.6640625" customWidth="1"/>
    <col min="3" max="3" width="11.44140625" style="84" customWidth="1"/>
    <col min="4" max="4" width="11.44140625" style="84" bestFit="1" customWidth="1"/>
    <col min="5" max="12" width="11.44140625" style="84" customWidth="1"/>
    <col min="13" max="13" width="10.109375" style="84" bestFit="1" customWidth="1"/>
    <col min="14" max="23" width="10.109375" bestFit="1" customWidth="1"/>
  </cols>
  <sheetData>
    <row r="1" spans="1:23" ht="13.8" thickBot="1" x14ac:dyDescent="0.3">
      <c r="A1" s="112" t="s">
        <v>24</v>
      </c>
      <c r="B1" s="20" t="s">
        <v>182</v>
      </c>
      <c r="C1" s="46" t="s">
        <v>183</v>
      </c>
      <c r="D1" s="79" t="s">
        <v>180</v>
      </c>
      <c r="E1" s="127">
        <v>45658</v>
      </c>
      <c r="F1" s="82">
        <v>45292</v>
      </c>
      <c r="G1" s="82">
        <v>44927</v>
      </c>
      <c r="H1" s="82">
        <v>44562</v>
      </c>
      <c r="I1" s="82">
        <v>44197</v>
      </c>
      <c r="J1" s="82">
        <v>43831</v>
      </c>
      <c r="K1" s="82">
        <v>43466</v>
      </c>
      <c r="L1" s="21">
        <v>43101</v>
      </c>
      <c r="M1" s="21">
        <v>42736</v>
      </c>
      <c r="N1" s="21">
        <v>42370</v>
      </c>
      <c r="O1" s="21">
        <v>42005</v>
      </c>
      <c r="P1" s="21">
        <v>41640</v>
      </c>
      <c r="Q1" s="21">
        <v>41275</v>
      </c>
      <c r="R1" s="21">
        <v>40909</v>
      </c>
      <c r="S1" s="21">
        <v>40544</v>
      </c>
      <c r="T1" s="21">
        <v>40179</v>
      </c>
      <c r="U1" s="21">
        <v>39814</v>
      </c>
      <c r="V1" s="21">
        <v>39448</v>
      </c>
      <c r="W1" s="22">
        <v>39083</v>
      </c>
    </row>
    <row r="2" spans="1:23" s="3" customFormat="1" x14ac:dyDescent="0.25">
      <c r="A2" s="114" t="s">
        <v>11</v>
      </c>
      <c r="B2" s="44">
        <f>IFERROR((E2/F2-1), "")</f>
        <v>-0.73227474150664695</v>
      </c>
      <c r="C2" s="75">
        <f>E2-'[1]Czech Republic'!E2</f>
        <v>-859</v>
      </c>
      <c r="D2" s="35">
        <f>F2-'[1]Czech Republic'!F2</f>
        <v>-659</v>
      </c>
      <c r="E2" s="40">
        <v>1450</v>
      </c>
      <c r="F2" s="35">
        <v>5416</v>
      </c>
      <c r="G2" s="35">
        <v>7584</v>
      </c>
      <c r="H2" s="35">
        <v>5117</v>
      </c>
      <c r="I2" s="35">
        <v>4871</v>
      </c>
      <c r="J2" s="35">
        <v>3256</v>
      </c>
      <c r="K2" s="35">
        <v>4095</v>
      </c>
      <c r="L2" s="3">
        <v>1911</v>
      </c>
      <c r="M2" s="1">
        <v>1972</v>
      </c>
      <c r="N2" s="124"/>
      <c r="O2" s="124"/>
      <c r="P2" s="124"/>
      <c r="Q2" s="124"/>
      <c r="R2" s="124"/>
      <c r="S2" s="124"/>
      <c r="T2" s="124"/>
      <c r="U2" s="124"/>
      <c r="V2" s="124"/>
      <c r="W2" s="125"/>
    </row>
    <row r="3" spans="1:23" x14ac:dyDescent="0.25">
      <c r="A3" s="113" t="s">
        <v>9</v>
      </c>
      <c r="B3" s="23">
        <f t="shared" ref="B3:B50" si="0">IFERROR((E3/F3-1), "")</f>
        <v>-0.62266127825175865</v>
      </c>
      <c r="C3" s="88">
        <f>E3-'[1]Czech Republic'!E3</f>
        <v>-790</v>
      </c>
      <c r="D3" s="89">
        <f>F3-'[1]Czech Republic'!F3</f>
        <v>-1261</v>
      </c>
      <c r="E3" s="153">
        <v>2521</v>
      </c>
      <c r="F3" s="89">
        <v>6681</v>
      </c>
      <c r="G3" s="89">
        <v>6886</v>
      </c>
      <c r="H3" s="89">
        <v>4922</v>
      </c>
      <c r="I3" s="89">
        <v>5991</v>
      </c>
      <c r="J3" s="89">
        <v>3506</v>
      </c>
      <c r="K3" s="89">
        <v>3328</v>
      </c>
      <c r="L3" s="89">
        <v>3384</v>
      </c>
      <c r="M3" s="1">
        <v>3122</v>
      </c>
      <c r="N3" s="1">
        <v>4148</v>
      </c>
      <c r="O3" s="1">
        <v>1327</v>
      </c>
      <c r="P3" s="1">
        <v>1487</v>
      </c>
      <c r="Q3" s="1">
        <v>515</v>
      </c>
      <c r="R3" s="1">
        <v>203</v>
      </c>
      <c r="S3" s="1">
        <v>118</v>
      </c>
      <c r="T3" s="1">
        <v>282</v>
      </c>
      <c r="U3" s="1">
        <v>170</v>
      </c>
      <c r="V3" s="1">
        <v>149</v>
      </c>
      <c r="W3" s="25">
        <v>103</v>
      </c>
    </row>
    <row r="4" spans="1:23" x14ac:dyDescent="0.25">
      <c r="A4" s="113" t="s">
        <v>14</v>
      </c>
      <c r="B4" s="23">
        <f t="shared" si="0"/>
        <v>1.4772727272727271</v>
      </c>
      <c r="C4" s="88">
        <f>E4-'[1]Czech Republic'!E4</f>
        <v>-19</v>
      </c>
      <c r="D4" s="89">
        <f>F4-'[1]Czech Republic'!F4</f>
        <v>-11</v>
      </c>
      <c r="E4" s="153">
        <v>109</v>
      </c>
      <c r="F4" s="89">
        <v>44</v>
      </c>
      <c r="G4" s="89">
        <v>388</v>
      </c>
      <c r="H4" s="89">
        <v>249</v>
      </c>
      <c r="I4" s="89">
        <v>360</v>
      </c>
      <c r="J4" s="89">
        <v>169</v>
      </c>
      <c r="K4" s="89">
        <v>1145</v>
      </c>
      <c r="L4" s="89">
        <v>578</v>
      </c>
      <c r="M4" s="1">
        <v>393</v>
      </c>
      <c r="N4" s="1">
        <v>753</v>
      </c>
      <c r="O4" s="1">
        <v>1403</v>
      </c>
      <c r="P4" s="1">
        <v>919</v>
      </c>
      <c r="Q4" s="1">
        <v>1466</v>
      </c>
      <c r="R4" s="1">
        <v>1278</v>
      </c>
      <c r="S4" s="1">
        <v>1360</v>
      </c>
      <c r="T4" s="1">
        <v>1606</v>
      </c>
      <c r="U4" s="1">
        <v>2132</v>
      </c>
      <c r="V4" s="1">
        <v>1149</v>
      </c>
      <c r="W4" s="25">
        <v>2024</v>
      </c>
    </row>
    <row r="5" spans="1:23" x14ac:dyDescent="0.25">
      <c r="A5" s="113" t="s">
        <v>3</v>
      </c>
      <c r="B5" s="23">
        <f t="shared" si="0"/>
        <v>-0.58056067513822873</v>
      </c>
      <c r="C5" s="88">
        <f>E5-'[1]Czech Republic'!E5</f>
        <v>-675</v>
      </c>
      <c r="D5" s="89">
        <f>F5-'[1]Czech Republic'!F5</f>
        <v>-1832</v>
      </c>
      <c r="E5" s="153">
        <v>4324</v>
      </c>
      <c r="F5" s="89">
        <v>10309</v>
      </c>
      <c r="G5" s="89">
        <v>12797</v>
      </c>
      <c r="H5" s="89">
        <v>9741</v>
      </c>
      <c r="I5" s="89">
        <v>13226</v>
      </c>
      <c r="J5" s="89">
        <v>11866</v>
      </c>
      <c r="K5" s="89">
        <v>15580</v>
      </c>
      <c r="L5" s="89">
        <v>13573</v>
      </c>
      <c r="M5" s="1">
        <v>12204</v>
      </c>
      <c r="N5" s="1">
        <v>16349</v>
      </c>
      <c r="O5" s="1">
        <v>14273</v>
      </c>
      <c r="P5" s="1">
        <v>10890</v>
      </c>
      <c r="Q5" s="1">
        <v>8001</v>
      </c>
      <c r="R5" s="1">
        <v>8732</v>
      </c>
      <c r="S5" s="1">
        <v>5697</v>
      </c>
      <c r="T5" s="1">
        <v>8366</v>
      </c>
      <c r="U5" s="1">
        <v>8377</v>
      </c>
      <c r="V5" s="1">
        <v>5494</v>
      </c>
      <c r="W5" s="25">
        <v>4737</v>
      </c>
    </row>
    <row r="6" spans="1:23" x14ac:dyDescent="0.25">
      <c r="A6" s="113" t="s">
        <v>10</v>
      </c>
      <c r="B6" s="23">
        <f t="shared" si="0"/>
        <v>-0.71465517241379306</v>
      </c>
      <c r="C6" s="88">
        <f>E6-'[1]Czech Republic'!E6</f>
        <v>-27</v>
      </c>
      <c r="D6" s="89">
        <f>F6-'[1]Czech Republic'!F6</f>
        <v>-439</v>
      </c>
      <c r="E6" s="153">
        <v>993</v>
      </c>
      <c r="F6" s="89">
        <v>3480</v>
      </c>
      <c r="G6" s="89">
        <v>5464</v>
      </c>
      <c r="H6" s="89">
        <v>7008</v>
      </c>
      <c r="I6" s="89">
        <v>6955</v>
      </c>
      <c r="J6" s="89">
        <v>4334</v>
      </c>
      <c r="K6" s="89">
        <v>12173</v>
      </c>
      <c r="L6" s="89">
        <v>7870</v>
      </c>
      <c r="M6" s="1">
        <v>6851</v>
      </c>
      <c r="N6" s="1">
        <v>11971</v>
      </c>
      <c r="O6" s="1">
        <v>10395</v>
      </c>
      <c r="P6" s="1">
        <v>10169</v>
      </c>
      <c r="Q6" s="1">
        <v>13012</v>
      </c>
      <c r="R6" s="1">
        <v>6441</v>
      </c>
      <c r="S6" s="1">
        <v>10816</v>
      </c>
      <c r="T6" s="1">
        <v>16459</v>
      </c>
      <c r="U6" s="1">
        <v>18567</v>
      </c>
      <c r="V6" s="1">
        <v>10975</v>
      </c>
      <c r="W6" s="25">
        <v>16371</v>
      </c>
    </row>
    <row r="7" spans="1:23" x14ac:dyDescent="0.25">
      <c r="A7" s="113" t="s">
        <v>27</v>
      </c>
      <c r="B7" s="23">
        <f t="shared" si="0"/>
        <v>-0.84071284218261988</v>
      </c>
      <c r="C7" s="88">
        <f>E7-'[1]Czech Republic'!E7</f>
        <v>-285</v>
      </c>
      <c r="D7" s="89">
        <f>F7-'[1]Czech Republic'!F7</f>
        <v>-1955</v>
      </c>
      <c r="E7" s="153">
        <v>867</v>
      </c>
      <c r="F7" s="89">
        <v>5443</v>
      </c>
      <c r="G7" s="89">
        <v>10192</v>
      </c>
      <c r="H7" s="89">
        <v>9109</v>
      </c>
      <c r="I7" s="89">
        <v>7387</v>
      </c>
      <c r="J7" s="89">
        <v>4624</v>
      </c>
      <c r="K7" s="89">
        <v>9595</v>
      </c>
      <c r="L7" s="89">
        <v>3576</v>
      </c>
      <c r="M7" s="1">
        <v>3640</v>
      </c>
      <c r="N7" s="1">
        <v>7475</v>
      </c>
      <c r="O7" s="1">
        <v>7000</v>
      </c>
      <c r="P7" s="1">
        <v>4509</v>
      </c>
      <c r="Q7" s="1">
        <v>3289</v>
      </c>
      <c r="R7" s="1">
        <v>2280</v>
      </c>
      <c r="S7" s="1">
        <v>2295</v>
      </c>
      <c r="T7" s="1">
        <v>3807</v>
      </c>
      <c r="U7" s="1">
        <v>4728</v>
      </c>
      <c r="V7" s="1">
        <v>1907</v>
      </c>
      <c r="W7" s="25">
        <v>2698</v>
      </c>
    </row>
    <row r="8" spans="1:23" x14ac:dyDescent="0.25">
      <c r="A8" s="113" t="s">
        <v>19</v>
      </c>
      <c r="B8" s="23">
        <f t="shared" si="0"/>
        <v>-0.11340206185567014</v>
      </c>
      <c r="C8" s="88">
        <f>E8-'[1]Czech Republic'!E8</f>
        <v>-350</v>
      </c>
      <c r="D8" s="89">
        <f>F8-'[1]Czech Republic'!F8</f>
        <v>-268</v>
      </c>
      <c r="E8" s="153">
        <v>1634</v>
      </c>
      <c r="F8" s="89">
        <v>1843</v>
      </c>
      <c r="G8" s="89">
        <v>3286</v>
      </c>
      <c r="H8" s="89">
        <v>2286</v>
      </c>
      <c r="I8" s="89">
        <v>1665</v>
      </c>
      <c r="J8" s="89">
        <v>1125</v>
      </c>
      <c r="K8" s="89">
        <v>2126</v>
      </c>
      <c r="L8" s="89">
        <v>832</v>
      </c>
      <c r="M8" s="1">
        <v>590</v>
      </c>
      <c r="N8" s="1">
        <v>816</v>
      </c>
      <c r="O8" s="1">
        <v>78</v>
      </c>
      <c r="P8" s="1">
        <v>138</v>
      </c>
      <c r="Q8" s="1">
        <v>432</v>
      </c>
      <c r="R8" s="1">
        <v>49</v>
      </c>
      <c r="S8" s="1">
        <v>97</v>
      </c>
      <c r="T8" s="1">
        <v>32</v>
      </c>
      <c r="U8" s="1">
        <v>114</v>
      </c>
      <c r="V8" s="1">
        <v>187</v>
      </c>
      <c r="W8" s="25">
        <v>104</v>
      </c>
    </row>
    <row r="9" spans="1:23" x14ac:dyDescent="0.25">
      <c r="A9" s="114" t="s">
        <v>89</v>
      </c>
      <c r="B9" s="23">
        <f t="shared" si="0"/>
        <v>0.35526315789473695</v>
      </c>
      <c r="C9" s="88">
        <f>E9-'[1]Czech Republic'!E9</f>
        <v>-80</v>
      </c>
      <c r="D9" s="89">
        <f>F9-'[1]Czech Republic'!F9</f>
        <v>-30</v>
      </c>
      <c r="E9" s="153">
        <v>309</v>
      </c>
      <c r="F9" s="89">
        <v>228</v>
      </c>
      <c r="G9" s="89">
        <v>622</v>
      </c>
      <c r="H9" s="89">
        <v>1363</v>
      </c>
      <c r="I9" s="89">
        <v>1474</v>
      </c>
      <c r="J9" s="89">
        <v>697</v>
      </c>
      <c r="K9" s="89">
        <v>2076</v>
      </c>
      <c r="L9" s="89">
        <v>1149</v>
      </c>
      <c r="M9" s="1">
        <v>1739</v>
      </c>
      <c r="N9" s="1">
        <v>1989</v>
      </c>
      <c r="O9" s="1">
        <v>1705</v>
      </c>
      <c r="P9" s="1">
        <v>1068</v>
      </c>
      <c r="Q9" s="1">
        <v>902</v>
      </c>
      <c r="R9" s="1">
        <v>620</v>
      </c>
      <c r="S9" s="1">
        <v>667</v>
      </c>
      <c r="T9" s="1">
        <v>947</v>
      </c>
      <c r="U9" s="1"/>
      <c r="V9" s="1">
        <v>830</v>
      </c>
      <c r="W9" s="25">
        <v>1490</v>
      </c>
    </row>
    <row r="10" spans="1:23" x14ac:dyDescent="0.25">
      <c r="A10" s="113" t="s">
        <v>35</v>
      </c>
      <c r="B10" s="23" t="str">
        <f t="shared" si="0"/>
        <v/>
      </c>
      <c r="C10" s="88">
        <f>E10-'[1]Czech Republic'!E10</f>
        <v>0</v>
      </c>
      <c r="D10" s="89">
        <f>F10-'[1]Czech Republic'!F10</f>
        <v>0</v>
      </c>
      <c r="E10" s="153">
        <v>0</v>
      </c>
      <c r="F10" s="89">
        <v>0</v>
      </c>
      <c r="G10" s="89">
        <v>0</v>
      </c>
      <c r="H10" s="89">
        <v>2</v>
      </c>
      <c r="I10" s="89">
        <v>303</v>
      </c>
      <c r="J10" s="89">
        <v>48</v>
      </c>
      <c r="K10" s="89">
        <v>21</v>
      </c>
      <c r="L10" s="89">
        <v>32</v>
      </c>
      <c r="M10" s="1">
        <v>8</v>
      </c>
      <c r="N10" s="1">
        <v>58</v>
      </c>
      <c r="O10" s="1">
        <v>94</v>
      </c>
      <c r="P10" s="1">
        <v>20</v>
      </c>
      <c r="Q10" s="1">
        <v>267</v>
      </c>
      <c r="R10" s="1">
        <v>47</v>
      </c>
      <c r="S10" s="1">
        <v>88</v>
      </c>
      <c r="T10" s="1">
        <v>116</v>
      </c>
      <c r="U10" s="1">
        <v>136</v>
      </c>
      <c r="V10" s="1">
        <v>238</v>
      </c>
      <c r="W10" s="25">
        <v>114</v>
      </c>
    </row>
    <row r="11" spans="1:23" ht="13.8" thickBot="1" x14ac:dyDescent="0.3">
      <c r="A11" s="115" t="s">
        <v>59</v>
      </c>
      <c r="B11" s="24">
        <f t="shared" si="0"/>
        <v>-0.45270625328428793</v>
      </c>
      <c r="C11" s="90">
        <f>E11-'[1]Czech Republic'!E11</f>
        <v>-41</v>
      </c>
      <c r="D11" s="91">
        <f>F11-'[1]Czech Republic'!F11</f>
        <v>-659</v>
      </c>
      <c r="E11" s="130">
        <v>2083</v>
      </c>
      <c r="F11" s="91">
        <v>3806</v>
      </c>
      <c r="G11" s="91">
        <v>5833</v>
      </c>
      <c r="H11" s="91">
        <v>4387</v>
      </c>
      <c r="I11" s="91">
        <v>4014</v>
      </c>
      <c r="J11" s="91">
        <v>2144</v>
      </c>
      <c r="K11" s="91">
        <v>5206</v>
      </c>
      <c r="L11" s="91">
        <v>1952</v>
      </c>
      <c r="M11" s="1">
        <v>3326</v>
      </c>
      <c r="N11" s="81">
        <v>5842</v>
      </c>
      <c r="O11" s="81">
        <v>4766</v>
      </c>
      <c r="P11" s="81">
        <v>3984</v>
      </c>
      <c r="Q11" s="81">
        <v>3776</v>
      </c>
      <c r="R11" s="81">
        <v>1476</v>
      </c>
      <c r="S11" s="81">
        <v>2989</v>
      </c>
      <c r="T11" s="81">
        <v>3931</v>
      </c>
      <c r="U11" s="81">
        <v>7109</v>
      </c>
      <c r="V11" s="9">
        <v>2832</v>
      </c>
      <c r="W11" s="25">
        <v>4921</v>
      </c>
    </row>
    <row r="12" spans="1:23" ht="13.8" thickBot="1" x14ac:dyDescent="0.3">
      <c r="A12" s="116" t="s">
        <v>23</v>
      </c>
      <c r="B12" s="29">
        <f t="shared" si="0"/>
        <v>-0.61637583892617442</v>
      </c>
      <c r="C12" s="92">
        <f>E12-'[1]Czech Republic'!E12</f>
        <v>-3126</v>
      </c>
      <c r="D12" s="93">
        <f>F12-'[1]Czech Republic'!F12</f>
        <v>-7114</v>
      </c>
      <c r="E12" s="129">
        <f t="shared" ref="E12:K12" si="1">SUM(E2:E11)</f>
        <v>14290</v>
      </c>
      <c r="F12" s="93">
        <f t="shared" si="1"/>
        <v>37250</v>
      </c>
      <c r="G12" s="93">
        <f t="shared" si="1"/>
        <v>53052</v>
      </c>
      <c r="H12" s="93">
        <f t="shared" si="1"/>
        <v>44184</v>
      </c>
      <c r="I12" s="93">
        <f t="shared" si="1"/>
        <v>46246</v>
      </c>
      <c r="J12" s="93">
        <f t="shared" si="1"/>
        <v>31769</v>
      </c>
      <c r="K12" s="93">
        <f t="shared" si="1"/>
        <v>55345</v>
      </c>
      <c r="L12" s="93">
        <v>34857</v>
      </c>
      <c r="M12" s="131">
        <f>SUM(M2:M11)</f>
        <v>33845</v>
      </c>
      <c r="N12" s="30">
        <f>SUM(N3:N11)</f>
        <v>49401</v>
      </c>
      <c r="O12" s="30">
        <f>SUM(O3:O11)</f>
        <v>41041</v>
      </c>
      <c r="P12" s="30">
        <f>SUM(P3:P11)</f>
        <v>33184</v>
      </c>
      <c r="Q12" s="30">
        <f>SUM(Q3:Q11)</f>
        <v>31660</v>
      </c>
      <c r="R12" s="30">
        <f t="shared" ref="R12:W12" si="2">SUM(R3:R11)</f>
        <v>21126</v>
      </c>
      <c r="S12" s="30">
        <f t="shared" si="2"/>
        <v>24127</v>
      </c>
      <c r="T12" s="30">
        <f t="shared" si="2"/>
        <v>35546</v>
      </c>
      <c r="U12" s="30">
        <f t="shared" si="2"/>
        <v>41333</v>
      </c>
      <c r="V12" s="30">
        <f t="shared" si="2"/>
        <v>23761</v>
      </c>
      <c r="W12" s="106">
        <f t="shared" si="2"/>
        <v>32562</v>
      </c>
    </row>
    <row r="13" spans="1:23" x14ac:dyDescent="0.25">
      <c r="B13" s="32" t="str">
        <f t="shared" si="0"/>
        <v/>
      </c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3"/>
    </row>
    <row r="14" spans="1:23" ht="13.8" thickBot="1" x14ac:dyDescent="0.3">
      <c r="B14" t="str">
        <f t="shared" si="0"/>
        <v/>
      </c>
    </row>
    <row r="15" spans="1:23" ht="13.8" thickBot="1" x14ac:dyDescent="0.3">
      <c r="A15" s="118" t="s">
        <v>25</v>
      </c>
      <c r="B15" s="20" t="s">
        <v>182</v>
      </c>
      <c r="C15" s="46" t="s">
        <v>183</v>
      </c>
      <c r="D15" s="79" t="s">
        <v>180</v>
      </c>
      <c r="E15" s="127">
        <v>45658</v>
      </c>
      <c r="F15" s="82">
        <v>45292</v>
      </c>
      <c r="G15" s="82">
        <v>44927</v>
      </c>
      <c r="H15" s="82">
        <v>44562</v>
      </c>
      <c r="I15" s="82">
        <v>44197</v>
      </c>
      <c r="J15" s="82">
        <v>43831</v>
      </c>
      <c r="K15" s="82">
        <v>43466</v>
      </c>
      <c r="L15" s="21">
        <v>43101</v>
      </c>
      <c r="M15" s="21">
        <v>42736</v>
      </c>
      <c r="N15" s="52">
        <f>N1</f>
        <v>42370</v>
      </c>
      <c r="O15" s="52">
        <f>O1</f>
        <v>42005</v>
      </c>
      <c r="P15" s="52">
        <v>41640</v>
      </c>
      <c r="Q15" s="52">
        <v>41275</v>
      </c>
      <c r="R15" s="52">
        <v>40909</v>
      </c>
      <c r="S15" s="52">
        <v>40544</v>
      </c>
      <c r="T15" s="52">
        <v>40179</v>
      </c>
      <c r="U15" s="52">
        <v>39814</v>
      </c>
      <c r="V15" s="52">
        <v>39448</v>
      </c>
      <c r="W15" s="22">
        <v>39083</v>
      </c>
    </row>
    <row r="16" spans="1:23" x14ac:dyDescent="0.25">
      <c r="A16" s="119" t="s">
        <v>7</v>
      </c>
      <c r="B16" s="54">
        <f t="shared" si="0"/>
        <v>-0.30105017502917153</v>
      </c>
      <c r="C16" s="73">
        <f>E16-'[1]Czech Republic'!E16</f>
        <v>-547</v>
      </c>
      <c r="D16" s="56">
        <f>F16-'[1]Czech Republic'!F16</f>
        <v>-219</v>
      </c>
      <c r="E16" s="55">
        <v>1198</v>
      </c>
      <c r="F16" s="56">
        <v>1714</v>
      </c>
      <c r="G16" s="56">
        <v>1385</v>
      </c>
      <c r="H16" s="56">
        <v>622</v>
      </c>
      <c r="I16" s="56">
        <v>1653</v>
      </c>
      <c r="J16" s="56">
        <v>2150</v>
      </c>
      <c r="K16" s="56">
        <v>1328</v>
      </c>
      <c r="L16" s="56">
        <v>1165</v>
      </c>
      <c r="M16" s="56">
        <v>1014</v>
      </c>
      <c r="N16" s="56">
        <v>2952</v>
      </c>
      <c r="O16" s="56">
        <v>368</v>
      </c>
      <c r="P16" s="56">
        <v>1524</v>
      </c>
      <c r="Q16" s="56">
        <v>105</v>
      </c>
      <c r="R16" s="56">
        <v>200</v>
      </c>
      <c r="S16" s="56">
        <v>2</v>
      </c>
      <c r="T16" s="56">
        <v>3</v>
      </c>
      <c r="U16" s="56">
        <v>0</v>
      </c>
      <c r="V16" s="56">
        <v>0</v>
      </c>
      <c r="W16" s="68">
        <v>263</v>
      </c>
    </row>
    <row r="17" spans="1:23" x14ac:dyDescent="0.25">
      <c r="A17" s="119" t="s">
        <v>42</v>
      </c>
      <c r="B17" s="54">
        <f t="shared" si="0"/>
        <v>-1</v>
      </c>
      <c r="C17" s="73">
        <f>E17-'[1]Czech Republic'!E17</f>
        <v>0</v>
      </c>
      <c r="D17" s="56">
        <f>F17-'[1]Czech Republic'!F17</f>
        <v>-1</v>
      </c>
      <c r="E17" s="55">
        <v>0</v>
      </c>
      <c r="F17" s="56">
        <v>161</v>
      </c>
      <c r="G17" s="56">
        <v>18</v>
      </c>
      <c r="H17" s="56">
        <v>0</v>
      </c>
      <c r="I17" s="56">
        <v>0</v>
      </c>
      <c r="J17" s="56">
        <v>0</v>
      </c>
      <c r="K17" s="56">
        <v>12</v>
      </c>
      <c r="L17" s="56">
        <v>0</v>
      </c>
      <c r="M17" s="56">
        <v>1</v>
      </c>
      <c r="N17" s="56">
        <v>11</v>
      </c>
      <c r="O17" s="56">
        <v>0</v>
      </c>
      <c r="P17" s="56">
        <v>79</v>
      </c>
      <c r="Q17" s="56">
        <v>0</v>
      </c>
      <c r="R17" s="56">
        <v>102</v>
      </c>
      <c r="S17" s="56">
        <v>0</v>
      </c>
      <c r="T17" s="56">
        <v>0</v>
      </c>
      <c r="U17" s="56">
        <v>0</v>
      </c>
      <c r="V17" s="56">
        <v>0</v>
      </c>
      <c r="W17" s="68">
        <v>35</v>
      </c>
    </row>
    <row r="18" spans="1:23" x14ac:dyDescent="0.25">
      <c r="A18" s="119" t="s">
        <v>154</v>
      </c>
      <c r="B18" s="54">
        <f t="shared" si="0"/>
        <v>-0.78191489361702127</v>
      </c>
      <c r="C18" s="73">
        <f>E18-'[1]Czech Republic'!E18</f>
        <v>-29</v>
      </c>
      <c r="D18" s="56">
        <f>F18-'[1]Czech Republic'!F18</f>
        <v>-4</v>
      </c>
      <c r="E18" s="55">
        <v>41</v>
      </c>
      <c r="F18" s="56">
        <v>188</v>
      </c>
      <c r="G18" s="56">
        <v>112</v>
      </c>
      <c r="H18" s="56">
        <v>415</v>
      </c>
      <c r="I18" s="56">
        <v>406</v>
      </c>
      <c r="J18" s="56">
        <v>111</v>
      </c>
      <c r="K18" s="56">
        <v>242</v>
      </c>
      <c r="L18" s="56">
        <v>59</v>
      </c>
      <c r="M18" s="56">
        <v>143</v>
      </c>
      <c r="N18" s="56">
        <v>85</v>
      </c>
      <c r="O18" s="56">
        <v>23</v>
      </c>
      <c r="P18" s="56">
        <v>132</v>
      </c>
      <c r="Q18" s="56">
        <v>90</v>
      </c>
      <c r="R18" s="56"/>
      <c r="S18" s="56"/>
      <c r="T18" s="56"/>
      <c r="U18" s="56"/>
      <c r="V18" s="56"/>
      <c r="W18" s="25"/>
    </row>
    <row r="19" spans="1:23" x14ac:dyDescent="0.25">
      <c r="A19" s="119" t="s">
        <v>155</v>
      </c>
      <c r="B19" s="54">
        <f t="shared" si="0"/>
        <v>-0.71153846153846156</v>
      </c>
      <c r="C19" s="73">
        <f>E19-'[1]Czech Republic'!E19</f>
        <v>12</v>
      </c>
      <c r="D19" s="56">
        <f>F19-'[1]Czech Republic'!F19</f>
        <v>-45</v>
      </c>
      <c r="E19" s="55">
        <v>15</v>
      </c>
      <c r="F19" s="56">
        <v>52</v>
      </c>
      <c r="G19" s="56">
        <v>56</v>
      </c>
      <c r="H19" s="56">
        <v>109</v>
      </c>
      <c r="I19" s="56">
        <v>833</v>
      </c>
      <c r="J19" s="56">
        <v>253</v>
      </c>
      <c r="K19" s="56">
        <v>154</v>
      </c>
      <c r="L19" s="56">
        <v>74</v>
      </c>
      <c r="M19" s="56">
        <v>19</v>
      </c>
      <c r="N19" s="56">
        <v>925</v>
      </c>
      <c r="O19" s="56">
        <v>56</v>
      </c>
      <c r="P19" s="56">
        <v>448</v>
      </c>
      <c r="Q19" s="56">
        <v>434</v>
      </c>
      <c r="R19" s="56"/>
      <c r="S19" s="56"/>
      <c r="T19" s="56"/>
      <c r="U19" s="56"/>
      <c r="V19" s="56"/>
      <c r="W19" s="25"/>
    </row>
    <row r="20" spans="1:23" ht="13.8" thickBot="1" x14ac:dyDescent="0.3">
      <c r="A20" s="120" t="s">
        <v>6</v>
      </c>
      <c r="B20" s="54">
        <f t="shared" si="0"/>
        <v>-0.68131868131868134</v>
      </c>
      <c r="C20" s="73">
        <f>E20-'[1]Czech Republic'!E20</f>
        <v>0</v>
      </c>
      <c r="D20" s="56">
        <f>F20-'[1]Czech Republic'!F20</f>
        <v>-125</v>
      </c>
      <c r="E20" s="55">
        <v>29</v>
      </c>
      <c r="F20" s="56">
        <v>91</v>
      </c>
      <c r="G20" s="56">
        <v>85</v>
      </c>
      <c r="H20" s="56">
        <v>60</v>
      </c>
      <c r="I20" s="56">
        <v>135</v>
      </c>
      <c r="J20" s="56">
        <v>78</v>
      </c>
      <c r="K20" s="56">
        <v>143</v>
      </c>
      <c r="L20" s="56">
        <v>4</v>
      </c>
      <c r="M20" s="60">
        <v>20</v>
      </c>
      <c r="N20" s="60">
        <v>47</v>
      </c>
      <c r="O20" s="60">
        <v>93</v>
      </c>
      <c r="P20" s="60">
        <v>104</v>
      </c>
      <c r="Q20" s="60">
        <v>58</v>
      </c>
      <c r="R20" s="60">
        <v>192</v>
      </c>
      <c r="S20" s="60">
        <v>217</v>
      </c>
      <c r="T20" s="60">
        <v>100</v>
      </c>
      <c r="U20" s="60">
        <v>0</v>
      </c>
      <c r="V20" s="60">
        <v>23</v>
      </c>
      <c r="W20" s="69">
        <v>35</v>
      </c>
    </row>
    <row r="21" spans="1:23" ht="13.8" thickBot="1" x14ac:dyDescent="0.3">
      <c r="A21" s="121" t="s">
        <v>92</v>
      </c>
      <c r="B21" s="62">
        <f t="shared" si="0"/>
        <v>-0.41840435176790569</v>
      </c>
      <c r="C21" s="87">
        <f>E21-'[1]Czech Republic'!E21</f>
        <v>-564</v>
      </c>
      <c r="D21" s="85">
        <f>F21-'[1]Czech Republic'!F21</f>
        <v>-394</v>
      </c>
      <c r="E21" s="63">
        <f t="shared" ref="E21:K21" si="3">SUM(E16:E20)</f>
        <v>1283</v>
      </c>
      <c r="F21" s="85">
        <f t="shared" si="3"/>
        <v>2206</v>
      </c>
      <c r="G21" s="85">
        <f t="shared" si="3"/>
        <v>1656</v>
      </c>
      <c r="H21" s="85">
        <f t="shared" si="3"/>
        <v>1206</v>
      </c>
      <c r="I21" s="85">
        <f t="shared" si="3"/>
        <v>3027</v>
      </c>
      <c r="J21" s="85">
        <f t="shared" si="3"/>
        <v>2592</v>
      </c>
      <c r="K21" s="85">
        <f t="shared" si="3"/>
        <v>1879</v>
      </c>
      <c r="L21" s="85">
        <f t="shared" ref="L21:Q21" si="4">SUM(L16:L20)</f>
        <v>1302</v>
      </c>
      <c r="M21" s="85">
        <f t="shared" si="4"/>
        <v>1197</v>
      </c>
      <c r="N21" s="85">
        <f t="shared" si="4"/>
        <v>4020</v>
      </c>
      <c r="O21" s="85">
        <f t="shared" si="4"/>
        <v>540</v>
      </c>
      <c r="P21" s="85">
        <f t="shared" si="4"/>
        <v>2287</v>
      </c>
      <c r="Q21" s="85">
        <f t="shared" si="4"/>
        <v>687</v>
      </c>
      <c r="R21" s="85">
        <f t="shared" ref="R21:W21" si="5">SUM(R16:R20)</f>
        <v>494</v>
      </c>
      <c r="S21" s="85">
        <f t="shared" si="5"/>
        <v>219</v>
      </c>
      <c r="T21" s="85">
        <f t="shared" si="5"/>
        <v>103</v>
      </c>
      <c r="U21" s="85">
        <f t="shared" si="5"/>
        <v>0</v>
      </c>
      <c r="V21" s="85">
        <f t="shared" si="5"/>
        <v>23</v>
      </c>
      <c r="W21" s="86">
        <f t="shared" si="5"/>
        <v>333</v>
      </c>
    </row>
    <row r="22" spans="1:23" s="84" customFormat="1" x14ac:dyDescent="0.25">
      <c r="A22" s="117"/>
      <c r="B22" s="84" t="str">
        <f t="shared" si="0"/>
        <v/>
      </c>
      <c r="L22" s="10"/>
    </row>
    <row r="23" spans="1:23" x14ac:dyDescent="0.25">
      <c r="B23" t="str">
        <f t="shared" si="0"/>
        <v/>
      </c>
    </row>
    <row r="24" spans="1:23" x14ac:dyDescent="0.25">
      <c r="B24" t="str">
        <f t="shared" si="0"/>
        <v/>
      </c>
    </row>
    <row r="25" spans="1:23" x14ac:dyDescent="0.25">
      <c r="B25" t="str">
        <f t="shared" si="0"/>
        <v/>
      </c>
    </row>
    <row r="26" spans="1:23" x14ac:dyDescent="0.25">
      <c r="B26" t="str">
        <f t="shared" si="0"/>
        <v/>
      </c>
    </row>
    <row r="27" spans="1:23" x14ac:dyDescent="0.25">
      <c r="B27" t="str">
        <f t="shared" si="0"/>
        <v/>
      </c>
    </row>
    <row r="28" spans="1:23" x14ac:dyDescent="0.25">
      <c r="B28" t="str">
        <f t="shared" si="0"/>
        <v/>
      </c>
    </row>
    <row r="29" spans="1:23" x14ac:dyDescent="0.25">
      <c r="B29" t="str">
        <f t="shared" si="0"/>
        <v/>
      </c>
    </row>
    <row r="30" spans="1:23" x14ac:dyDescent="0.25">
      <c r="B30" t="str">
        <f t="shared" si="0"/>
        <v/>
      </c>
    </row>
    <row r="31" spans="1:23" x14ac:dyDescent="0.25">
      <c r="B31" t="str">
        <f t="shared" si="0"/>
        <v/>
      </c>
    </row>
    <row r="32" spans="1:23" x14ac:dyDescent="0.25">
      <c r="B32" t="str">
        <f t="shared" si="0"/>
        <v/>
      </c>
    </row>
    <row r="33" spans="2:2" x14ac:dyDescent="0.25">
      <c r="B33" t="str">
        <f t="shared" si="0"/>
        <v/>
      </c>
    </row>
    <row r="34" spans="2:2" x14ac:dyDescent="0.25">
      <c r="B34" t="str">
        <f t="shared" si="0"/>
        <v/>
      </c>
    </row>
    <row r="35" spans="2:2" x14ac:dyDescent="0.25">
      <c r="B35" t="str">
        <f t="shared" si="0"/>
        <v/>
      </c>
    </row>
    <row r="36" spans="2:2" x14ac:dyDescent="0.25">
      <c r="B36" t="str">
        <f t="shared" si="0"/>
        <v/>
      </c>
    </row>
    <row r="37" spans="2:2" x14ac:dyDescent="0.25">
      <c r="B37" t="str">
        <f t="shared" si="0"/>
        <v/>
      </c>
    </row>
    <row r="38" spans="2:2" x14ac:dyDescent="0.25">
      <c r="B38" t="str">
        <f t="shared" si="0"/>
        <v/>
      </c>
    </row>
    <row r="39" spans="2:2" x14ac:dyDescent="0.25">
      <c r="B39" t="str">
        <f t="shared" si="0"/>
        <v/>
      </c>
    </row>
    <row r="40" spans="2:2" x14ac:dyDescent="0.25">
      <c r="B40" t="str">
        <f t="shared" si="0"/>
        <v/>
      </c>
    </row>
    <row r="41" spans="2:2" x14ac:dyDescent="0.25">
      <c r="B41" t="str">
        <f t="shared" si="0"/>
        <v/>
      </c>
    </row>
    <row r="42" spans="2:2" x14ac:dyDescent="0.25">
      <c r="B42" t="str">
        <f t="shared" si="0"/>
        <v/>
      </c>
    </row>
    <row r="43" spans="2:2" x14ac:dyDescent="0.25">
      <c r="B43" t="str">
        <f t="shared" si="0"/>
        <v/>
      </c>
    </row>
    <row r="44" spans="2:2" x14ac:dyDescent="0.25">
      <c r="B44" t="str">
        <f t="shared" si="0"/>
        <v/>
      </c>
    </row>
    <row r="45" spans="2:2" x14ac:dyDescent="0.25">
      <c r="B45" t="str">
        <f t="shared" si="0"/>
        <v/>
      </c>
    </row>
    <row r="46" spans="2:2" x14ac:dyDescent="0.25">
      <c r="B46" t="str">
        <f t="shared" si="0"/>
        <v/>
      </c>
    </row>
    <row r="47" spans="2:2" x14ac:dyDescent="0.25">
      <c r="B47" t="str">
        <f t="shared" si="0"/>
        <v/>
      </c>
    </row>
    <row r="48" spans="2:2" x14ac:dyDescent="0.25">
      <c r="B48" t="str">
        <f t="shared" si="0"/>
        <v/>
      </c>
    </row>
    <row r="49" spans="2:2" x14ac:dyDescent="0.25">
      <c r="B49" t="str">
        <f t="shared" si="0"/>
        <v/>
      </c>
    </row>
    <row r="50" spans="2:2" x14ac:dyDescent="0.25">
      <c r="B50" t="str">
        <f t="shared" si="0"/>
        <v/>
      </c>
    </row>
  </sheetData>
  <pageMargins left="0.75" right="0.75" top="1" bottom="1" header="0.5" footer="0.5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X50"/>
  <sheetViews>
    <sheetView zoomScaleNormal="100" workbookViewId="0"/>
  </sheetViews>
  <sheetFormatPr defaultColWidth="9.109375" defaultRowHeight="13.2" x14ac:dyDescent="0.25"/>
  <cols>
    <col min="1" max="1" width="24.6640625" customWidth="1"/>
    <col min="2" max="2" width="10.6640625" customWidth="1"/>
    <col min="3" max="3" width="11.77734375" customWidth="1"/>
    <col min="4" max="12" width="11.44140625" customWidth="1"/>
    <col min="13" max="23" width="10.109375" bestFit="1" customWidth="1"/>
  </cols>
  <sheetData>
    <row r="1" spans="1:24" ht="13.8" thickBot="1" x14ac:dyDescent="0.3">
      <c r="A1" s="36" t="s">
        <v>24</v>
      </c>
      <c r="B1" s="20" t="s">
        <v>182</v>
      </c>
      <c r="C1" s="46" t="s">
        <v>183</v>
      </c>
      <c r="D1" s="79" t="s">
        <v>180</v>
      </c>
      <c r="E1" s="127">
        <v>45658</v>
      </c>
      <c r="F1" s="82">
        <v>45292</v>
      </c>
      <c r="G1" s="82">
        <v>44927</v>
      </c>
      <c r="H1" s="82">
        <v>44562</v>
      </c>
      <c r="I1" s="82">
        <v>44197</v>
      </c>
      <c r="J1" s="82">
        <v>43831</v>
      </c>
      <c r="K1" s="82">
        <v>43466</v>
      </c>
      <c r="L1" s="21">
        <v>43101</v>
      </c>
      <c r="M1" s="21">
        <v>42736</v>
      </c>
      <c r="N1" s="21">
        <v>42370</v>
      </c>
      <c r="O1" s="21">
        <v>42005</v>
      </c>
      <c r="P1" s="21">
        <v>41640</v>
      </c>
      <c r="Q1" s="21">
        <v>41275</v>
      </c>
      <c r="R1" s="21">
        <v>40909</v>
      </c>
      <c r="S1" s="21">
        <v>40544</v>
      </c>
      <c r="T1" s="21">
        <v>40179</v>
      </c>
      <c r="U1" s="21">
        <v>39814</v>
      </c>
      <c r="V1" s="21">
        <v>39448</v>
      </c>
      <c r="W1" s="22">
        <v>39083</v>
      </c>
    </row>
    <row r="2" spans="1:24" x14ac:dyDescent="0.25">
      <c r="A2" s="37" t="s">
        <v>4</v>
      </c>
      <c r="B2" s="44">
        <f>IFERROR((E2/F2-1), "")</f>
        <v>1</v>
      </c>
      <c r="C2" s="75">
        <f>E2-[1]Denmark!E2</f>
        <v>-49</v>
      </c>
      <c r="D2" s="35">
        <f>F2-[1]Denmark!F2</f>
        <v>-9</v>
      </c>
      <c r="E2" s="40">
        <v>6</v>
      </c>
      <c r="F2" s="35">
        <v>3</v>
      </c>
      <c r="G2" s="35">
        <v>1</v>
      </c>
      <c r="H2" s="35">
        <v>20</v>
      </c>
      <c r="I2" s="35"/>
      <c r="J2" s="35">
        <v>0</v>
      </c>
      <c r="K2" s="35">
        <v>9</v>
      </c>
      <c r="L2" s="35">
        <v>0</v>
      </c>
      <c r="M2" s="35">
        <v>7</v>
      </c>
      <c r="N2" s="35">
        <v>8</v>
      </c>
      <c r="O2" s="35">
        <v>0</v>
      </c>
      <c r="P2" s="35">
        <v>0</v>
      </c>
      <c r="Q2" s="35">
        <v>10</v>
      </c>
      <c r="R2" s="35">
        <v>0</v>
      </c>
      <c r="S2" s="35">
        <v>18</v>
      </c>
      <c r="T2" s="35">
        <v>7</v>
      </c>
      <c r="U2" s="35">
        <v>5</v>
      </c>
      <c r="V2" s="35">
        <v>67</v>
      </c>
      <c r="W2" s="65">
        <v>30</v>
      </c>
    </row>
    <row r="3" spans="1:24" x14ac:dyDescent="0.25">
      <c r="A3" s="37" t="s">
        <v>97</v>
      </c>
      <c r="B3" s="44">
        <f t="shared" ref="B3:B50" si="0">IFERROR((E3/F3-1), "")</f>
        <v>0.49411764705882355</v>
      </c>
      <c r="C3" s="75">
        <f>E3-[1]Denmark!E3</f>
        <v>-6</v>
      </c>
      <c r="D3" s="35">
        <f>F3-[1]Denmark!F3</f>
        <v>-4</v>
      </c>
      <c r="E3" s="40">
        <v>127</v>
      </c>
      <c r="F3" s="35">
        <v>85</v>
      </c>
      <c r="G3" s="35">
        <v>97</v>
      </c>
      <c r="H3" s="35">
        <v>237</v>
      </c>
      <c r="I3" s="35">
        <v>15</v>
      </c>
      <c r="J3" s="35">
        <v>370</v>
      </c>
      <c r="K3" s="35">
        <v>386</v>
      </c>
      <c r="L3" s="35">
        <v>348</v>
      </c>
      <c r="M3" s="35">
        <v>527</v>
      </c>
      <c r="N3" s="35">
        <v>453</v>
      </c>
      <c r="O3" s="35">
        <v>568</v>
      </c>
      <c r="P3" s="35">
        <v>550</v>
      </c>
      <c r="Q3" s="35">
        <v>421</v>
      </c>
      <c r="R3" s="35">
        <v>510</v>
      </c>
      <c r="S3" s="35">
        <v>399</v>
      </c>
      <c r="T3" s="35">
        <v>350</v>
      </c>
      <c r="U3" s="35">
        <v>137</v>
      </c>
      <c r="V3" s="35"/>
      <c r="W3" s="65"/>
    </row>
    <row r="4" spans="1:24" x14ac:dyDescent="0.25">
      <c r="A4" s="37" t="s">
        <v>5</v>
      </c>
      <c r="B4" s="44" t="str">
        <f t="shared" si="0"/>
        <v/>
      </c>
      <c r="C4" s="75">
        <f>E4-[1]Denmark!E4</f>
        <v>-145</v>
      </c>
      <c r="D4" s="35">
        <f>F4-[1]Denmark!F4</f>
        <v>-157</v>
      </c>
      <c r="E4" s="40">
        <v>9</v>
      </c>
      <c r="F4" s="35">
        <v>0</v>
      </c>
      <c r="G4" s="35">
        <v>44</v>
      </c>
      <c r="H4" s="35">
        <v>16</v>
      </c>
      <c r="I4" s="35">
        <v>45</v>
      </c>
      <c r="J4" s="35">
        <v>0</v>
      </c>
      <c r="K4" s="35">
        <v>231</v>
      </c>
      <c r="L4" s="35">
        <v>0</v>
      </c>
      <c r="M4" s="35">
        <v>112</v>
      </c>
      <c r="N4" s="35">
        <v>252</v>
      </c>
      <c r="O4" s="35">
        <v>0</v>
      </c>
      <c r="P4" s="35">
        <v>267</v>
      </c>
      <c r="Q4" s="35">
        <v>22</v>
      </c>
      <c r="R4" s="35">
        <v>34</v>
      </c>
      <c r="S4" s="35">
        <v>50</v>
      </c>
      <c r="T4" s="35">
        <v>22</v>
      </c>
      <c r="U4" s="35">
        <v>96</v>
      </c>
      <c r="V4" s="35">
        <v>364</v>
      </c>
      <c r="W4" s="65">
        <v>55</v>
      </c>
    </row>
    <row r="5" spans="1:24" x14ac:dyDescent="0.25">
      <c r="A5" s="37" t="s">
        <v>2</v>
      </c>
      <c r="B5" s="44">
        <f t="shared" si="0"/>
        <v>0.71317073170731704</v>
      </c>
      <c r="C5" s="75">
        <f>E5-[1]Denmark!E5</f>
        <v>-728</v>
      </c>
      <c r="D5" s="35">
        <f>F5-[1]Denmark!F5</f>
        <v>-543</v>
      </c>
      <c r="E5" s="40">
        <v>3512</v>
      </c>
      <c r="F5" s="35">
        <v>2050</v>
      </c>
      <c r="G5" s="35">
        <v>2923</v>
      </c>
      <c r="H5" s="35">
        <v>3470</v>
      </c>
      <c r="I5" s="35">
        <v>2499</v>
      </c>
      <c r="J5" s="35">
        <v>2504</v>
      </c>
      <c r="K5" s="35">
        <v>4275</v>
      </c>
      <c r="L5" s="35">
        <v>2418</v>
      </c>
      <c r="M5" s="35">
        <v>3338</v>
      </c>
      <c r="N5" s="35">
        <v>3542</v>
      </c>
      <c r="O5" s="35">
        <v>3290</v>
      </c>
      <c r="P5" s="35">
        <v>2827</v>
      </c>
      <c r="Q5" s="35">
        <v>2189</v>
      </c>
      <c r="R5" s="35">
        <v>2348</v>
      </c>
      <c r="S5" s="35">
        <v>1805</v>
      </c>
      <c r="T5" s="35">
        <v>2594</v>
      </c>
      <c r="U5" s="35">
        <v>3092</v>
      </c>
      <c r="V5" s="35">
        <v>2035</v>
      </c>
      <c r="W5" s="65">
        <v>1396</v>
      </c>
    </row>
    <row r="6" spans="1:24" x14ac:dyDescent="0.25">
      <c r="A6" s="37" t="s">
        <v>12</v>
      </c>
      <c r="B6" s="44">
        <f t="shared" si="0"/>
        <v>1.5</v>
      </c>
      <c r="C6" s="75">
        <f>E6-[1]Denmark!E6</f>
        <v>-1</v>
      </c>
      <c r="D6" s="35">
        <f>F6-[1]Denmark!F6</f>
        <v>-3</v>
      </c>
      <c r="E6" s="40">
        <v>15</v>
      </c>
      <c r="F6" s="35">
        <v>6</v>
      </c>
      <c r="G6" s="35"/>
      <c r="H6" s="35"/>
      <c r="I6" s="35"/>
      <c r="J6" s="35">
        <v>5</v>
      </c>
      <c r="K6" s="35">
        <v>16</v>
      </c>
      <c r="L6" s="35">
        <v>0</v>
      </c>
      <c r="M6" s="35">
        <v>17</v>
      </c>
      <c r="N6" s="35">
        <v>14</v>
      </c>
      <c r="O6" s="35">
        <v>0</v>
      </c>
      <c r="P6" s="35">
        <v>29</v>
      </c>
      <c r="Q6" s="35">
        <v>8</v>
      </c>
      <c r="R6" s="35"/>
      <c r="S6" s="35">
        <v>0</v>
      </c>
      <c r="T6" s="35">
        <v>0</v>
      </c>
      <c r="U6" s="35">
        <v>5</v>
      </c>
      <c r="V6" s="35"/>
      <c r="W6" s="65"/>
    </row>
    <row r="7" spans="1:24" x14ac:dyDescent="0.25">
      <c r="A7" s="37" t="s">
        <v>9</v>
      </c>
      <c r="B7" s="44">
        <f t="shared" si="0"/>
        <v>1.3513513513513598E-2</v>
      </c>
      <c r="C7" s="75">
        <f>E7-[1]Denmark!E7</f>
        <v>-42</v>
      </c>
      <c r="D7" s="35">
        <f>F7-[1]Denmark!F7</f>
        <v>-7</v>
      </c>
      <c r="E7" s="40">
        <v>150</v>
      </c>
      <c r="F7" s="35">
        <v>148</v>
      </c>
      <c r="G7" s="35">
        <v>105</v>
      </c>
      <c r="H7" s="35">
        <v>198</v>
      </c>
      <c r="I7" s="35">
        <v>156</v>
      </c>
      <c r="J7" s="35">
        <v>186</v>
      </c>
      <c r="K7" s="35">
        <v>575</v>
      </c>
      <c r="L7" s="35">
        <v>156</v>
      </c>
      <c r="M7" s="35">
        <v>523</v>
      </c>
      <c r="N7" s="35">
        <v>358</v>
      </c>
      <c r="O7" s="35">
        <v>304</v>
      </c>
      <c r="P7" s="35">
        <v>293</v>
      </c>
      <c r="Q7" s="35">
        <v>124</v>
      </c>
      <c r="R7" s="35">
        <v>240</v>
      </c>
      <c r="S7" s="35">
        <v>259</v>
      </c>
      <c r="T7" s="35">
        <v>266</v>
      </c>
      <c r="U7" s="35">
        <f>SUM(X7:AA7)</f>
        <v>0</v>
      </c>
      <c r="V7" s="35"/>
      <c r="W7" s="65"/>
    </row>
    <row r="8" spans="1:24" x14ac:dyDescent="0.25">
      <c r="A8" s="37" t="s">
        <v>14</v>
      </c>
      <c r="B8" s="44" t="str">
        <f t="shared" si="0"/>
        <v/>
      </c>
      <c r="C8" s="75">
        <f>E8-[1]Denmark!E8</f>
        <v>0</v>
      </c>
      <c r="D8" s="35">
        <f>F8-[1]Denmark!F8</f>
        <v>0</v>
      </c>
      <c r="E8" s="40"/>
      <c r="F8" s="35"/>
      <c r="G8" s="35"/>
      <c r="H8" s="35"/>
      <c r="I8" s="35"/>
      <c r="J8" s="35"/>
      <c r="K8" s="35">
        <v>0</v>
      </c>
      <c r="L8" s="35">
        <v>0</v>
      </c>
      <c r="M8" s="35">
        <v>0</v>
      </c>
      <c r="N8" s="35">
        <v>0</v>
      </c>
      <c r="O8" s="35">
        <v>0</v>
      </c>
      <c r="P8" s="35">
        <v>5</v>
      </c>
      <c r="Q8" s="35">
        <v>58</v>
      </c>
      <c r="R8" s="35">
        <v>80</v>
      </c>
      <c r="S8" s="35">
        <v>62</v>
      </c>
      <c r="T8" s="35">
        <v>86</v>
      </c>
      <c r="U8" s="35">
        <v>330</v>
      </c>
      <c r="V8" s="35">
        <v>346</v>
      </c>
      <c r="W8" s="65">
        <v>340</v>
      </c>
    </row>
    <row r="9" spans="1:24" x14ac:dyDescent="0.25">
      <c r="A9" s="37" t="s">
        <v>17</v>
      </c>
      <c r="B9" s="44">
        <f t="shared" si="0"/>
        <v>-1</v>
      </c>
      <c r="C9" s="75">
        <f>E9-[1]Denmark!E9</f>
        <v>0</v>
      </c>
      <c r="D9" s="35">
        <f>F9-[1]Denmark!F9</f>
        <v>10</v>
      </c>
      <c r="E9" s="40"/>
      <c r="F9" s="35">
        <v>10</v>
      </c>
      <c r="G9" s="35"/>
      <c r="H9" s="35"/>
      <c r="I9" s="35">
        <v>3</v>
      </c>
      <c r="J9" s="35">
        <v>6</v>
      </c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65"/>
    </row>
    <row r="10" spans="1:24" x14ac:dyDescent="0.25">
      <c r="A10" s="37" t="s">
        <v>15</v>
      </c>
      <c r="B10" s="44">
        <f t="shared" si="0"/>
        <v>-0.83333333333333337</v>
      </c>
      <c r="C10" s="75">
        <f>E10-[1]Denmark!E10</f>
        <v>-81</v>
      </c>
      <c r="D10" s="35">
        <f>F10-[1]Denmark!F10</f>
        <v>-135</v>
      </c>
      <c r="E10" s="40">
        <v>25</v>
      </c>
      <c r="F10" s="35">
        <v>150</v>
      </c>
      <c r="G10" s="35">
        <v>80</v>
      </c>
      <c r="H10" s="35">
        <v>6</v>
      </c>
      <c r="I10" s="35"/>
      <c r="J10" s="35">
        <v>0</v>
      </c>
      <c r="K10" s="35">
        <v>198</v>
      </c>
      <c r="L10" s="35">
        <v>0</v>
      </c>
      <c r="M10" s="35">
        <v>113</v>
      </c>
      <c r="N10" s="35">
        <v>138</v>
      </c>
      <c r="O10" s="35">
        <v>94</v>
      </c>
      <c r="P10" s="35">
        <v>235</v>
      </c>
      <c r="Q10" s="35">
        <v>24</v>
      </c>
      <c r="R10" s="35">
        <v>168</v>
      </c>
      <c r="S10" s="35">
        <v>135</v>
      </c>
      <c r="T10" s="35">
        <v>205</v>
      </c>
      <c r="U10" s="35">
        <v>475</v>
      </c>
      <c r="V10" s="35"/>
      <c r="W10" s="65"/>
    </row>
    <row r="11" spans="1:24" x14ac:dyDescent="0.25">
      <c r="A11" s="37" t="s">
        <v>10</v>
      </c>
      <c r="B11" s="44">
        <f t="shared" si="0"/>
        <v>-1</v>
      </c>
      <c r="C11" s="75">
        <f>E11-[1]Denmark!E11</f>
        <v>0</v>
      </c>
      <c r="D11" s="35">
        <f>F11-[1]Denmark!F11</f>
        <v>0</v>
      </c>
      <c r="E11" s="40"/>
      <c r="F11" s="35">
        <v>14</v>
      </c>
      <c r="G11" s="35"/>
      <c r="H11" s="35">
        <v>14</v>
      </c>
      <c r="I11" s="35"/>
      <c r="J11" s="35">
        <v>15</v>
      </c>
      <c r="K11" s="35">
        <v>14</v>
      </c>
      <c r="L11" s="35">
        <v>0</v>
      </c>
      <c r="M11" s="35">
        <v>0</v>
      </c>
      <c r="N11" s="35">
        <v>0</v>
      </c>
      <c r="O11" s="35">
        <v>0</v>
      </c>
      <c r="P11" s="35">
        <v>21</v>
      </c>
      <c r="Q11" s="35"/>
      <c r="R11" s="35">
        <v>11</v>
      </c>
      <c r="S11" s="35">
        <v>16</v>
      </c>
      <c r="T11" s="35">
        <v>34</v>
      </c>
      <c r="U11" s="35">
        <v>34</v>
      </c>
      <c r="V11" s="35"/>
      <c r="W11" s="65"/>
      <c r="X11" s="1"/>
    </row>
    <row r="12" spans="1:24" x14ac:dyDescent="0.25">
      <c r="A12" s="37" t="s">
        <v>99</v>
      </c>
      <c r="B12" s="44">
        <f t="shared" si="0"/>
        <v>1.3067993366500827</v>
      </c>
      <c r="C12" s="75">
        <f>E12-[1]Denmark!E12</f>
        <v>-628</v>
      </c>
      <c r="D12" s="35">
        <f>F12-[1]Denmark!F12</f>
        <v>-791</v>
      </c>
      <c r="E12" s="40">
        <v>1391</v>
      </c>
      <c r="F12" s="35">
        <v>603</v>
      </c>
      <c r="G12" s="35">
        <v>568</v>
      </c>
      <c r="H12" s="35"/>
      <c r="I12" s="35"/>
      <c r="J12" s="35">
        <v>0</v>
      </c>
      <c r="K12" s="35">
        <v>965</v>
      </c>
      <c r="L12" s="35">
        <v>0</v>
      </c>
      <c r="M12" s="35">
        <v>1665</v>
      </c>
      <c r="N12" s="35">
        <v>1455</v>
      </c>
      <c r="O12" s="35">
        <v>339</v>
      </c>
      <c r="P12" s="35">
        <v>1095</v>
      </c>
      <c r="Q12" s="35">
        <v>29</v>
      </c>
      <c r="R12" s="35">
        <v>89</v>
      </c>
      <c r="S12" s="35">
        <v>388</v>
      </c>
      <c r="T12" s="35">
        <v>385</v>
      </c>
      <c r="U12" s="35">
        <v>950</v>
      </c>
      <c r="V12" s="35"/>
      <c r="W12" s="65"/>
    </row>
    <row r="13" spans="1:24" x14ac:dyDescent="0.25">
      <c r="A13" s="37" t="s">
        <v>27</v>
      </c>
      <c r="B13" s="44">
        <f t="shared" si="0"/>
        <v>0.89999999999999991</v>
      </c>
      <c r="C13" s="75">
        <f>E13-[1]Denmark!E13</f>
        <v>0</v>
      </c>
      <c r="D13" s="35">
        <f>F13-[1]Denmark!F13</f>
        <v>0</v>
      </c>
      <c r="E13" s="40">
        <v>19</v>
      </c>
      <c r="F13" s="35">
        <v>10</v>
      </c>
      <c r="G13" s="35">
        <v>8</v>
      </c>
      <c r="H13" s="35">
        <v>21</v>
      </c>
      <c r="I13" s="35">
        <v>28</v>
      </c>
      <c r="J13" s="35"/>
      <c r="K13" s="35">
        <v>51</v>
      </c>
      <c r="L13" s="35">
        <v>32</v>
      </c>
      <c r="M13" s="35">
        <v>27</v>
      </c>
      <c r="N13" s="35">
        <v>22</v>
      </c>
      <c r="O13" s="35">
        <v>45</v>
      </c>
      <c r="P13" s="35">
        <v>38</v>
      </c>
      <c r="Q13" s="35">
        <v>69</v>
      </c>
      <c r="R13" s="35"/>
      <c r="S13" s="35"/>
      <c r="T13" s="35">
        <v>146</v>
      </c>
      <c r="U13" s="35">
        <v>10</v>
      </c>
      <c r="V13" s="35">
        <v>3272</v>
      </c>
      <c r="W13" s="65">
        <v>2336</v>
      </c>
      <c r="X13" s="1"/>
    </row>
    <row r="14" spans="1:24" x14ac:dyDescent="0.25">
      <c r="A14" s="37" t="s">
        <v>26</v>
      </c>
      <c r="B14" s="44">
        <f t="shared" si="0"/>
        <v>9.8751418842224714E-2</v>
      </c>
      <c r="C14" s="75">
        <f>E14-[1]Denmark!E14</f>
        <v>-46</v>
      </c>
      <c r="D14" s="35">
        <f>F14-[1]Denmark!F14</f>
        <v>-46</v>
      </c>
      <c r="E14" s="40">
        <v>968</v>
      </c>
      <c r="F14" s="35">
        <v>881</v>
      </c>
      <c r="G14" s="35">
        <v>696</v>
      </c>
      <c r="H14" s="35">
        <v>1254</v>
      </c>
      <c r="I14" s="35">
        <v>1684</v>
      </c>
      <c r="J14" s="35">
        <v>1122</v>
      </c>
      <c r="K14" s="35">
        <v>2615</v>
      </c>
      <c r="L14" s="35">
        <v>1809</v>
      </c>
      <c r="M14" s="35">
        <v>2881</v>
      </c>
      <c r="N14" s="35">
        <v>2288</v>
      </c>
      <c r="O14" s="35">
        <v>2433</v>
      </c>
      <c r="P14" s="35">
        <v>2040</v>
      </c>
      <c r="Q14" s="35">
        <v>1994</v>
      </c>
      <c r="R14" s="35">
        <v>2546</v>
      </c>
      <c r="S14" s="35">
        <v>2256</v>
      </c>
      <c r="T14" s="35">
        <v>2986</v>
      </c>
      <c r="U14" s="35">
        <v>3880</v>
      </c>
      <c r="V14" s="35"/>
      <c r="W14" s="65"/>
    </row>
    <row r="15" spans="1:24" x14ac:dyDescent="0.25">
      <c r="A15" s="37" t="s">
        <v>98</v>
      </c>
      <c r="B15" s="44" t="str">
        <f t="shared" si="0"/>
        <v/>
      </c>
      <c r="C15" s="75">
        <f>E15-[1]Denmark!E15</f>
        <v>-24</v>
      </c>
      <c r="D15" s="35">
        <f>F15-[1]Denmark!F15</f>
        <v>-36</v>
      </c>
      <c r="E15" s="40"/>
      <c r="F15" s="35">
        <v>0</v>
      </c>
      <c r="G15" s="35">
        <v>0</v>
      </c>
      <c r="H15" s="35"/>
      <c r="I15" s="35"/>
      <c r="J15" s="35">
        <v>0</v>
      </c>
      <c r="K15" s="35">
        <v>0</v>
      </c>
      <c r="L15" s="35">
        <v>0</v>
      </c>
      <c r="M15" s="35">
        <v>0</v>
      </c>
      <c r="N15" s="35">
        <v>0</v>
      </c>
      <c r="O15" s="35">
        <v>0</v>
      </c>
      <c r="P15" s="35"/>
      <c r="Q15" s="35"/>
      <c r="R15" s="35">
        <v>0</v>
      </c>
      <c r="S15" s="35"/>
      <c r="T15" s="35">
        <v>0</v>
      </c>
      <c r="U15" s="35">
        <f>SUM(X15:AA15)</f>
        <v>0</v>
      </c>
      <c r="V15" s="35"/>
      <c r="W15" s="65"/>
    </row>
    <row r="16" spans="1:24" x14ac:dyDescent="0.25">
      <c r="A16" s="37" t="s">
        <v>13</v>
      </c>
      <c r="B16" s="44" t="str">
        <f t="shared" si="0"/>
        <v/>
      </c>
      <c r="C16" s="75">
        <f>E16-[1]Denmark!E16</f>
        <v>0</v>
      </c>
      <c r="D16" s="35">
        <f>F16-[1]Denmark!F16</f>
        <v>0</v>
      </c>
      <c r="E16" s="40"/>
      <c r="F16" s="35"/>
      <c r="G16" s="35"/>
      <c r="H16" s="35"/>
      <c r="I16" s="35"/>
      <c r="J16" s="35"/>
      <c r="K16" s="35">
        <v>0</v>
      </c>
      <c r="L16" s="35"/>
      <c r="M16" s="35">
        <v>0</v>
      </c>
      <c r="N16" s="35">
        <v>0</v>
      </c>
      <c r="O16" s="35">
        <v>0</v>
      </c>
      <c r="P16" s="35"/>
      <c r="Q16" s="35"/>
      <c r="R16" s="35"/>
      <c r="S16" s="35"/>
      <c r="T16" s="35">
        <v>37</v>
      </c>
      <c r="U16" s="35">
        <v>46</v>
      </c>
      <c r="V16" s="35"/>
      <c r="W16" s="65"/>
    </row>
    <row r="17" spans="1:23" x14ac:dyDescent="0.25">
      <c r="A17" s="37" t="s">
        <v>35</v>
      </c>
      <c r="B17" s="44" t="str">
        <f t="shared" si="0"/>
        <v/>
      </c>
      <c r="C17" s="75">
        <f>E17-[1]Denmark!E17</f>
        <v>0</v>
      </c>
      <c r="D17" s="35">
        <f>F17-[1]Denmark!F17</f>
        <v>0</v>
      </c>
      <c r="E17" s="40"/>
      <c r="F17" s="35"/>
      <c r="G17" s="35"/>
      <c r="H17" s="35"/>
      <c r="I17" s="35"/>
      <c r="J17" s="35">
        <v>0</v>
      </c>
      <c r="K17" s="35">
        <v>17</v>
      </c>
      <c r="L17" s="35"/>
      <c r="M17" s="35">
        <v>16</v>
      </c>
      <c r="N17" s="35">
        <v>0</v>
      </c>
      <c r="O17" s="35">
        <v>9</v>
      </c>
      <c r="P17" s="35">
        <v>5</v>
      </c>
      <c r="Q17" s="35">
        <v>10</v>
      </c>
      <c r="R17" s="35">
        <v>0</v>
      </c>
      <c r="S17" s="35"/>
      <c r="T17" s="35"/>
      <c r="U17" s="35"/>
      <c r="V17" s="35"/>
      <c r="W17" s="65"/>
    </row>
    <row r="18" spans="1:23" x14ac:dyDescent="0.25">
      <c r="A18" s="37" t="s">
        <v>87</v>
      </c>
      <c r="B18" s="44">
        <f t="shared" si="0"/>
        <v>0.63447828904731041</v>
      </c>
      <c r="C18" s="75">
        <f>E18-[1]Denmark!E18</f>
        <v>-14</v>
      </c>
      <c r="D18" s="35">
        <f>F18-[1]Denmark!F18</f>
        <v>-1301</v>
      </c>
      <c r="E18" s="40">
        <v>2522</v>
      </c>
      <c r="F18" s="35">
        <v>1543</v>
      </c>
      <c r="G18" s="35">
        <v>2446</v>
      </c>
      <c r="H18" s="35">
        <v>2283</v>
      </c>
      <c r="I18" s="35">
        <v>1581</v>
      </c>
      <c r="J18" s="35">
        <v>1523</v>
      </c>
      <c r="K18" s="35">
        <v>2105</v>
      </c>
      <c r="L18" s="35">
        <v>1003</v>
      </c>
      <c r="M18" s="35">
        <v>1180</v>
      </c>
      <c r="N18" s="35">
        <v>1159</v>
      </c>
      <c r="O18" s="35">
        <v>1083</v>
      </c>
      <c r="P18" s="35">
        <v>865</v>
      </c>
      <c r="Q18" s="35">
        <v>907</v>
      </c>
      <c r="R18" s="35">
        <v>415</v>
      </c>
      <c r="S18" s="35">
        <v>460</v>
      </c>
      <c r="T18" s="35">
        <v>395</v>
      </c>
      <c r="U18" s="35">
        <v>265</v>
      </c>
      <c r="V18" s="35"/>
      <c r="W18" s="65"/>
    </row>
    <row r="19" spans="1:23" ht="13.8" thickBot="1" x14ac:dyDescent="0.3">
      <c r="A19" s="38" t="s">
        <v>6</v>
      </c>
      <c r="B19" s="45">
        <f t="shared" si="0"/>
        <v>-0.78387364921030755</v>
      </c>
      <c r="C19" s="75">
        <f>E19-[1]Denmark!E19</f>
        <v>-1571</v>
      </c>
      <c r="D19" s="35">
        <f>F19-[1]Denmark!F19</f>
        <v>858</v>
      </c>
      <c r="E19" s="40">
        <v>260</v>
      </c>
      <c r="F19" s="35">
        <v>1203</v>
      </c>
      <c r="G19" s="35">
        <v>1522</v>
      </c>
      <c r="H19" s="35">
        <f>149+267+749+11</f>
        <v>1176</v>
      </c>
      <c r="I19" s="35">
        <v>664</v>
      </c>
      <c r="J19" s="35">
        <v>675</v>
      </c>
      <c r="K19" s="35">
        <v>575</v>
      </c>
      <c r="L19" s="35">
        <v>135</v>
      </c>
      <c r="M19" s="35">
        <v>175</v>
      </c>
      <c r="N19" s="34">
        <v>200</v>
      </c>
      <c r="O19" s="34">
        <v>154</v>
      </c>
      <c r="P19" s="34">
        <v>198</v>
      </c>
      <c r="Q19" s="34">
        <v>176</v>
      </c>
      <c r="R19" s="34">
        <v>271</v>
      </c>
      <c r="S19" s="34">
        <v>100</v>
      </c>
      <c r="T19" s="34">
        <v>452</v>
      </c>
      <c r="U19" s="34">
        <v>331</v>
      </c>
      <c r="V19" s="34">
        <v>616</v>
      </c>
      <c r="W19" s="66">
        <v>478</v>
      </c>
    </row>
    <row r="20" spans="1:23" ht="13.8" thickBot="1" x14ac:dyDescent="0.3">
      <c r="A20" s="39" t="s">
        <v>92</v>
      </c>
      <c r="B20" s="78">
        <f t="shared" si="0"/>
        <v>0.34267819862809423</v>
      </c>
      <c r="C20" s="71">
        <f>E20-[1]Denmark!E20</f>
        <v>-3335</v>
      </c>
      <c r="D20" s="43">
        <f>F20-[1]Denmark!F20</f>
        <v>-2164</v>
      </c>
      <c r="E20" s="42">
        <f t="shared" ref="E20:K20" si="1">SUM(E2:E19)</f>
        <v>9004</v>
      </c>
      <c r="F20" s="43">
        <f t="shared" si="1"/>
        <v>6706</v>
      </c>
      <c r="G20" s="43">
        <f t="shared" si="1"/>
        <v>8490</v>
      </c>
      <c r="H20" s="43">
        <f t="shared" si="1"/>
        <v>8695</v>
      </c>
      <c r="I20" s="43">
        <f t="shared" si="1"/>
        <v>6675</v>
      </c>
      <c r="J20" s="43">
        <f t="shared" si="1"/>
        <v>6406</v>
      </c>
      <c r="K20" s="43">
        <f t="shared" si="1"/>
        <v>12032</v>
      </c>
      <c r="L20" s="43">
        <f t="shared" ref="L20:Q20" si="2">SUM(L2:L19)</f>
        <v>5901</v>
      </c>
      <c r="M20" s="43">
        <f t="shared" si="2"/>
        <v>10581</v>
      </c>
      <c r="N20" s="43">
        <f t="shared" si="2"/>
        <v>9889</v>
      </c>
      <c r="O20" s="43">
        <f t="shared" si="2"/>
        <v>8319</v>
      </c>
      <c r="P20" s="43">
        <f t="shared" si="2"/>
        <v>8468</v>
      </c>
      <c r="Q20" s="43">
        <f t="shared" si="2"/>
        <v>6041</v>
      </c>
      <c r="R20" s="43">
        <f t="shared" ref="R20:W20" si="3">SUM(R2:R19)</f>
        <v>6712</v>
      </c>
      <c r="S20" s="43">
        <f t="shared" si="3"/>
        <v>5948</v>
      </c>
      <c r="T20" s="43">
        <f t="shared" si="3"/>
        <v>7965</v>
      </c>
      <c r="U20" s="43">
        <f t="shared" si="3"/>
        <v>9656</v>
      </c>
      <c r="V20" s="43">
        <f t="shared" si="3"/>
        <v>6700</v>
      </c>
      <c r="W20" s="31">
        <f t="shared" si="3"/>
        <v>4635</v>
      </c>
    </row>
    <row r="21" spans="1:23" x14ac:dyDescent="0.25">
      <c r="B21" t="str">
        <f t="shared" si="0"/>
        <v/>
      </c>
    </row>
    <row r="22" spans="1:23" ht="13.8" thickBot="1" x14ac:dyDescent="0.3">
      <c r="B22" s="3" t="str">
        <f t="shared" si="0"/>
        <v/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</row>
    <row r="23" spans="1:23" s="50" customFormat="1" ht="13.8" thickBot="1" x14ac:dyDescent="0.3">
      <c r="A23" s="51" t="s">
        <v>121</v>
      </c>
      <c r="B23" s="20" t="s">
        <v>182</v>
      </c>
      <c r="C23" s="46" t="s">
        <v>183</v>
      </c>
      <c r="D23" s="79" t="s">
        <v>180</v>
      </c>
      <c r="E23" s="127">
        <v>45658</v>
      </c>
      <c r="F23" s="82">
        <v>45292</v>
      </c>
      <c r="G23" s="82">
        <v>44927</v>
      </c>
      <c r="H23" s="82">
        <v>44562</v>
      </c>
      <c r="I23" s="82">
        <v>44197</v>
      </c>
      <c r="J23" s="82">
        <v>43831</v>
      </c>
      <c r="K23" s="82">
        <v>43466</v>
      </c>
      <c r="L23" s="21">
        <v>43101</v>
      </c>
      <c r="M23" s="21">
        <v>42736</v>
      </c>
      <c r="N23" s="52">
        <f>N1</f>
        <v>42370</v>
      </c>
      <c r="O23" s="52">
        <f>O1</f>
        <v>42005</v>
      </c>
      <c r="P23" s="52">
        <v>41640</v>
      </c>
      <c r="Q23" s="52">
        <v>41275</v>
      </c>
      <c r="R23" s="52">
        <v>40909</v>
      </c>
      <c r="S23" s="52">
        <v>40544</v>
      </c>
      <c r="T23" s="52">
        <v>40179</v>
      </c>
      <c r="U23" s="52">
        <v>39814</v>
      </c>
      <c r="V23" s="52">
        <v>39448</v>
      </c>
      <c r="W23" s="67">
        <v>39083</v>
      </c>
    </row>
    <row r="24" spans="1:23" s="50" customFormat="1" x14ac:dyDescent="0.25">
      <c r="A24" s="53" t="s">
        <v>7</v>
      </c>
      <c r="B24" s="54" t="str">
        <f t="shared" si="0"/>
        <v/>
      </c>
      <c r="C24" s="73">
        <f>E24-[1]Denmark!E24</f>
        <v>0</v>
      </c>
      <c r="D24" s="56">
        <f>F24-[1]Denmark!F24</f>
        <v>-10</v>
      </c>
      <c r="E24" s="55"/>
      <c r="F24" s="56"/>
      <c r="G24" s="56">
        <v>113</v>
      </c>
      <c r="H24" s="56"/>
      <c r="I24" s="56">
        <v>102</v>
      </c>
      <c r="J24" s="56">
        <v>60</v>
      </c>
      <c r="K24" s="56">
        <v>222</v>
      </c>
      <c r="L24" s="56">
        <v>0</v>
      </c>
      <c r="M24" s="56">
        <v>36</v>
      </c>
      <c r="N24" s="56">
        <v>145</v>
      </c>
      <c r="O24" s="56">
        <v>0</v>
      </c>
      <c r="P24" s="56">
        <v>384</v>
      </c>
      <c r="Q24" s="56">
        <v>70</v>
      </c>
      <c r="R24" s="56">
        <v>216</v>
      </c>
      <c r="S24" s="56">
        <v>0</v>
      </c>
      <c r="T24" s="56">
        <v>0</v>
      </c>
      <c r="U24" s="56">
        <f>SUM(X24:Y24)</f>
        <v>0</v>
      </c>
      <c r="V24" s="56" t="str">
        <f>B39</f>
        <v/>
      </c>
      <c r="W24" s="68">
        <f>B61</f>
        <v>0</v>
      </c>
    </row>
    <row r="25" spans="1:23" s="50" customFormat="1" x14ac:dyDescent="0.25">
      <c r="A25" s="53" t="s">
        <v>149</v>
      </c>
      <c r="B25" s="54">
        <f t="shared" si="0"/>
        <v>-1</v>
      </c>
      <c r="C25" s="73">
        <f>E25-[1]Denmark!E25</f>
        <v>0</v>
      </c>
      <c r="D25" s="56">
        <f>F25-[1]Denmark!F25</f>
        <v>0</v>
      </c>
      <c r="E25" s="55"/>
      <c r="F25" s="56">
        <v>2</v>
      </c>
      <c r="G25" s="56">
        <v>3</v>
      </c>
      <c r="H25" s="56"/>
      <c r="I25" s="56"/>
      <c r="J25" s="56"/>
      <c r="K25" s="56"/>
      <c r="L25" s="56">
        <v>0</v>
      </c>
      <c r="M25" s="56">
        <v>0</v>
      </c>
      <c r="N25" s="56">
        <v>0</v>
      </c>
      <c r="O25" s="56">
        <v>0</v>
      </c>
      <c r="P25" s="56"/>
      <c r="Q25" s="56">
        <v>6</v>
      </c>
      <c r="R25" s="56">
        <v>1</v>
      </c>
      <c r="S25" s="56"/>
      <c r="T25" s="56"/>
      <c r="U25" s="56"/>
      <c r="V25" s="56"/>
      <c r="W25" s="68"/>
    </row>
    <row r="26" spans="1:23" s="50" customFormat="1" ht="13.8" thickBot="1" x14ac:dyDescent="0.3">
      <c r="A26" s="57" t="s">
        <v>6</v>
      </c>
      <c r="B26" s="58" t="str">
        <f t="shared" si="0"/>
        <v/>
      </c>
      <c r="C26" s="73">
        <f>E26-[1]Denmark!E26</f>
        <v>-30</v>
      </c>
      <c r="D26" s="56">
        <f>F26-[1]Denmark!F26</f>
        <v>-24</v>
      </c>
      <c r="E26" s="55"/>
      <c r="F26" s="56"/>
      <c r="G26" s="56">
        <f>62+66</f>
        <v>128</v>
      </c>
      <c r="H26" s="56">
        <v>38</v>
      </c>
      <c r="I26" s="56">
        <v>15</v>
      </c>
      <c r="J26" s="56">
        <v>71</v>
      </c>
      <c r="K26" s="56">
        <v>321</v>
      </c>
      <c r="L26" s="56">
        <v>0</v>
      </c>
      <c r="M26" s="60">
        <v>40</v>
      </c>
      <c r="N26" s="60">
        <v>193</v>
      </c>
      <c r="O26" s="60">
        <v>15</v>
      </c>
      <c r="P26" s="60">
        <v>273</v>
      </c>
      <c r="Q26" s="60">
        <v>30</v>
      </c>
      <c r="R26" s="60">
        <v>37</v>
      </c>
      <c r="S26" s="60">
        <v>0</v>
      </c>
      <c r="T26" s="60">
        <v>0</v>
      </c>
      <c r="U26" s="60">
        <f>SUM(X26:Y26)</f>
        <v>0</v>
      </c>
      <c r="V26" s="60">
        <v>30</v>
      </c>
      <c r="W26" s="69">
        <f>B70</f>
        <v>0</v>
      </c>
    </row>
    <row r="27" spans="1:23" s="50" customFormat="1" ht="13.8" thickBot="1" x14ac:dyDescent="0.3">
      <c r="A27" s="61" t="s">
        <v>92</v>
      </c>
      <c r="B27" s="62">
        <f t="shared" si="0"/>
        <v>-1</v>
      </c>
      <c r="C27" s="87">
        <f>E27-[1]Denmark!E27</f>
        <v>-30</v>
      </c>
      <c r="D27" s="85">
        <f>F27-[1]Denmark!F27</f>
        <v>-34</v>
      </c>
      <c r="E27" s="63">
        <f t="shared" ref="E27:K27" si="4">SUM(E24:E26)</f>
        <v>0</v>
      </c>
      <c r="F27" s="85">
        <f t="shared" si="4"/>
        <v>2</v>
      </c>
      <c r="G27" s="85">
        <f t="shared" si="4"/>
        <v>244</v>
      </c>
      <c r="H27" s="85">
        <f t="shared" si="4"/>
        <v>38</v>
      </c>
      <c r="I27" s="85">
        <f t="shared" si="4"/>
        <v>117</v>
      </c>
      <c r="J27" s="85">
        <f t="shared" si="4"/>
        <v>131</v>
      </c>
      <c r="K27" s="85">
        <f t="shared" si="4"/>
        <v>543</v>
      </c>
      <c r="L27" s="85">
        <v>0</v>
      </c>
      <c r="M27" s="85">
        <f>SUM(M24:M26)</f>
        <v>76</v>
      </c>
      <c r="N27" s="85">
        <f t="shared" ref="N27:S27" si="5">SUM(N24:N26)</f>
        <v>338</v>
      </c>
      <c r="O27" s="85">
        <f t="shared" si="5"/>
        <v>15</v>
      </c>
      <c r="P27" s="85">
        <f t="shared" si="5"/>
        <v>657</v>
      </c>
      <c r="Q27" s="85">
        <f t="shared" si="5"/>
        <v>106</v>
      </c>
      <c r="R27" s="85">
        <f t="shared" si="5"/>
        <v>254</v>
      </c>
      <c r="S27" s="85">
        <f t="shared" si="5"/>
        <v>0</v>
      </c>
      <c r="T27" s="85">
        <v>0</v>
      </c>
      <c r="U27" s="85">
        <f>SUM(U24:U26)</f>
        <v>0</v>
      </c>
      <c r="V27" s="64">
        <f>SUM(V24:V26)</f>
        <v>30</v>
      </c>
      <c r="W27" s="70">
        <f>SUM(W24:W26)</f>
        <v>0</v>
      </c>
    </row>
    <row r="28" spans="1:23" s="50" customFormat="1" x14ac:dyDescent="0.25">
      <c r="B28" s="50" t="str">
        <f t="shared" si="0"/>
        <v/>
      </c>
    </row>
    <row r="29" spans="1:23" s="50" customFormat="1" x14ac:dyDescent="0.25">
      <c r="B29" s="50" t="str">
        <f t="shared" si="0"/>
        <v/>
      </c>
    </row>
    <row r="30" spans="1:23" s="50" customFormat="1" x14ac:dyDescent="0.25">
      <c r="B30" s="50" t="str">
        <f t="shared" si="0"/>
        <v/>
      </c>
    </row>
    <row r="31" spans="1:23" x14ac:dyDescent="0.25">
      <c r="B31" t="str">
        <f t="shared" si="0"/>
        <v/>
      </c>
    </row>
    <row r="32" spans="1:23" x14ac:dyDescent="0.25">
      <c r="B32" t="str">
        <f t="shared" si="0"/>
        <v/>
      </c>
    </row>
    <row r="33" spans="2:2" x14ac:dyDescent="0.25">
      <c r="B33" t="str">
        <f t="shared" si="0"/>
        <v/>
      </c>
    </row>
    <row r="34" spans="2:2" x14ac:dyDescent="0.25">
      <c r="B34" t="str">
        <f t="shared" si="0"/>
        <v/>
      </c>
    </row>
    <row r="35" spans="2:2" x14ac:dyDescent="0.25">
      <c r="B35" t="str">
        <f t="shared" si="0"/>
        <v/>
      </c>
    </row>
    <row r="36" spans="2:2" x14ac:dyDescent="0.25">
      <c r="B36" t="str">
        <f t="shared" si="0"/>
        <v/>
      </c>
    </row>
    <row r="37" spans="2:2" x14ac:dyDescent="0.25">
      <c r="B37" t="str">
        <f t="shared" si="0"/>
        <v/>
      </c>
    </row>
    <row r="38" spans="2:2" x14ac:dyDescent="0.25">
      <c r="B38" t="str">
        <f t="shared" si="0"/>
        <v/>
      </c>
    </row>
    <row r="39" spans="2:2" x14ac:dyDescent="0.25">
      <c r="B39" t="str">
        <f t="shared" si="0"/>
        <v/>
      </c>
    </row>
    <row r="40" spans="2:2" x14ac:dyDescent="0.25">
      <c r="B40" t="str">
        <f t="shared" si="0"/>
        <v/>
      </c>
    </row>
    <row r="41" spans="2:2" x14ac:dyDescent="0.25">
      <c r="B41" t="str">
        <f t="shared" si="0"/>
        <v/>
      </c>
    </row>
    <row r="42" spans="2:2" x14ac:dyDescent="0.25">
      <c r="B42" t="str">
        <f t="shared" si="0"/>
        <v/>
      </c>
    </row>
    <row r="43" spans="2:2" x14ac:dyDescent="0.25">
      <c r="B43" t="str">
        <f t="shared" si="0"/>
        <v/>
      </c>
    </row>
    <row r="44" spans="2:2" x14ac:dyDescent="0.25">
      <c r="B44" t="str">
        <f t="shared" si="0"/>
        <v/>
      </c>
    </row>
    <row r="45" spans="2:2" x14ac:dyDescent="0.25">
      <c r="B45" t="str">
        <f t="shared" si="0"/>
        <v/>
      </c>
    </row>
    <row r="46" spans="2:2" x14ac:dyDescent="0.25">
      <c r="B46" t="str">
        <f t="shared" si="0"/>
        <v/>
      </c>
    </row>
    <row r="47" spans="2:2" x14ac:dyDescent="0.25">
      <c r="B47" t="str">
        <f t="shared" si="0"/>
        <v/>
      </c>
    </row>
    <row r="48" spans="2:2" x14ac:dyDescent="0.25">
      <c r="B48" t="str">
        <f t="shared" si="0"/>
        <v/>
      </c>
    </row>
    <row r="49" spans="2:2" x14ac:dyDescent="0.25">
      <c r="B49" t="str">
        <f t="shared" si="0"/>
        <v/>
      </c>
    </row>
    <row r="50" spans="2:2" x14ac:dyDescent="0.25">
      <c r="B50" t="str">
        <f t="shared" si="0"/>
        <v/>
      </c>
    </row>
  </sheetData>
  <pageMargins left="0.75" right="0.75" top="1" bottom="1" header="0.5" footer="0.5"/>
  <pageSetup paperSize="9" fitToHeight="3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50"/>
  <sheetViews>
    <sheetView zoomScaleNormal="100" workbookViewId="0"/>
  </sheetViews>
  <sheetFormatPr defaultColWidth="9.109375" defaultRowHeight="13.2" x14ac:dyDescent="0.25"/>
  <cols>
    <col min="1" max="1" width="24.6640625" customWidth="1"/>
    <col min="2" max="2" width="10.6640625" customWidth="1"/>
    <col min="3" max="3" width="12.44140625" customWidth="1"/>
    <col min="4" max="12" width="12.33203125" customWidth="1"/>
    <col min="13" max="21" width="10.6640625" customWidth="1"/>
  </cols>
  <sheetData>
    <row r="1" spans="1:22" ht="13.8" thickBot="1" x14ac:dyDescent="0.3">
      <c r="A1" s="36" t="s">
        <v>24</v>
      </c>
      <c r="B1" s="20" t="s">
        <v>182</v>
      </c>
      <c r="C1" s="46" t="s">
        <v>183</v>
      </c>
      <c r="D1" s="79" t="s">
        <v>180</v>
      </c>
      <c r="E1" s="127">
        <v>45658</v>
      </c>
      <c r="F1" s="82">
        <v>45292</v>
      </c>
      <c r="G1" s="82">
        <v>44927</v>
      </c>
      <c r="H1" s="82">
        <v>44562</v>
      </c>
      <c r="I1" s="82">
        <v>44197</v>
      </c>
      <c r="J1" s="82">
        <v>43831</v>
      </c>
      <c r="K1" s="82">
        <v>43466</v>
      </c>
      <c r="L1" s="21">
        <v>43101</v>
      </c>
      <c r="M1" s="21">
        <v>42736</v>
      </c>
      <c r="N1" s="21">
        <v>42370</v>
      </c>
      <c r="O1" s="21">
        <v>42005</v>
      </c>
      <c r="P1" s="21">
        <v>41640</v>
      </c>
      <c r="Q1" s="21">
        <v>41275</v>
      </c>
      <c r="R1" s="21">
        <v>40909</v>
      </c>
      <c r="S1" s="21">
        <v>40544</v>
      </c>
      <c r="T1" s="21">
        <v>40179</v>
      </c>
      <c r="U1" s="22">
        <v>39814</v>
      </c>
    </row>
    <row r="2" spans="1:22" x14ac:dyDescent="0.25">
      <c r="A2" s="37" t="s">
        <v>120</v>
      </c>
      <c r="B2" s="44">
        <f>IFERROR((E2/F2-1), "")</f>
        <v>0.35821706830947631</v>
      </c>
      <c r="C2" s="75">
        <f>E2-[1]France!E2</f>
        <v>-124</v>
      </c>
      <c r="D2" s="35">
        <f>F2-[1]France!F2</f>
        <v>-588</v>
      </c>
      <c r="E2" s="40">
        <v>7496</v>
      </c>
      <c r="F2" s="35">
        <v>5519</v>
      </c>
      <c r="G2" s="35">
        <v>6616</v>
      </c>
      <c r="H2" s="105">
        <v>4864</v>
      </c>
      <c r="I2" s="35">
        <v>6998</v>
      </c>
      <c r="J2" s="35">
        <v>6878</v>
      </c>
      <c r="K2" s="35">
        <v>6300</v>
      </c>
      <c r="L2" s="35">
        <v>8755</v>
      </c>
      <c r="M2" s="105">
        <v>10662</v>
      </c>
      <c r="N2" s="104">
        <v>9848</v>
      </c>
      <c r="O2" s="104">
        <v>15575</v>
      </c>
      <c r="P2" s="104">
        <v>18299</v>
      </c>
      <c r="Q2" s="104">
        <v>11440</v>
      </c>
      <c r="R2" s="104">
        <v>16421</v>
      </c>
      <c r="S2" s="104">
        <v>14300</v>
      </c>
      <c r="T2" s="104">
        <v>9759</v>
      </c>
      <c r="U2" s="101">
        <v>6781</v>
      </c>
    </row>
    <row r="3" spans="1:22" x14ac:dyDescent="0.25">
      <c r="A3" s="37" t="s">
        <v>125</v>
      </c>
      <c r="B3" s="44">
        <f t="shared" ref="B3:B50" si="0">IFERROR((E3/F3-1), "")</f>
        <v>-0.10601200135864441</v>
      </c>
      <c r="C3" s="75">
        <f>E3-[1]France!E3</f>
        <v>-3944</v>
      </c>
      <c r="D3" s="35">
        <f>F3-[1]France!F3</f>
        <v>-4199</v>
      </c>
      <c r="E3" s="40">
        <v>23688</v>
      </c>
      <c r="F3" s="35">
        <v>26497</v>
      </c>
      <c r="G3" s="35">
        <v>20702</v>
      </c>
      <c r="H3" s="105">
        <v>26955</v>
      </c>
      <c r="I3" s="35">
        <v>21954</v>
      </c>
      <c r="J3" s="35">
        <v>25621</v>
      </c>
      <c r="K3" s="35">
        <v>22703</v>
      </c>
      <c r="L3" s="35">
        <v>20298</v>
      </c>
      <c r="M3" s="105">
        <v>20344</v>
      </c>
      <c r="N3" s="105">
        <v>22657</v>
      </c>
      <c r="O3" s="105">
        <v>17959</v>
      </c>
      <c r="P3" s="105">
        <v>22076</v>
      </c>
      <c r="Q3" s="105">
        <v>14438</v>
      </c>
      <c r="R3" s="105">
        <v>18783</v>
      </c>
      <c r="S3" s="105">
        <v>16525</v>
      </c>
      <c r="T3" s="105">
        <v>17760</v>
      </c>
      <c r="U3" s="101">
        <v>13825</v>
      </c>
    </row>
    <row r="4" spans="1:22" x14ac:dyDescent="0.25">
      <c r="A4" s="37" t="s">
        <v>4</v>
      </c>
      <c r="B4" s="44">
        <f t="shared" si="0"/>
        <v>0.99454875832828593</v>
      </c>
      <c r="C4" s="75">
        <f>E4-[1]France!E4</f>
        <v>-465</v>
      </c>
      <c r="D4" s="35">
        <f>F4-[1]France!F4</f>
        <v>-439</v>
      </c>
      <c r="E4" s="40">
        <v>3293</v>
      </c>
      <c r="F4" s="35">
        <v>1651</v>
      </c>
      <c r="G4" s="35">
        <v>2815</v>
      </c>
      <c r="H4" s="105">
        <v>3439</v>
      </c>
      <c r="I4" s="35">
        <v>1663</v>
      </c>
      <c r="J4" s="35">
        <v>1717</v>
      </c>
      <c r="K4" s="35">
        <v>2240</v>
      </c>
      <c r="L4" s="35">
        <v>802</v>
      </c>
      <c r="M4" s="35">
        <v>2839</v>
      </c>
      <c r="N4" s="35">
        <v>2778</v>
      </c>
      <c r="O4" s="35">
        <v>3240</v>
      </c>
      <c r="P4" s="35">
        <v>2379</v>
      </c>
      <c r="Q4" s="35">
        <v>885</v>
      </c>
      <c r="R4" s="35">
        <v>4972</v>
      </c>
      <c r="S4" s="35">
        <v>3227</v>
      </c>
      <c r="T4" s="35">
        <v>7048</v>
      </c>
      <c r="U4" s="65">
        <v>4281</v>
      </c>
    </row>
    <row r="5" spans="1:22" x14ac:dyDescent="0.25">
      <c r="A5" s="37" t="s">
        <v>11</v>
      </c>
      <c r="B5" s="44">
        <f t="shared" si="0"/>
        <v>-3.0099470352667579E-2</v>
      </c>
      <c r="C5" s="75">
        <f>E5-[1]France!E5</f>
        <v>-2325</v>
      </c>
      <c r="D5" s="35">
        <f>F5-[1]France!F5</f>
        <v>-2750</v>
      </c>
      <c r="E5" s="40">
        <v>15016</v>
      </c>
      <c r="F5" s="35">
        <v>15482</v>
      </c>
      <c r="G5" s="35">
        <v>13102</v>
      </c>
      <c r="H5" s="105">
        <v>18178</v>
      </c>
      <c r="I5" s="35">
        <v>17732</v>
      </c>
      <c r="J5" s="35">
        <v>29233</v>
      </c>
      <c r="K5" s="35">
        <v>21656</v>
      </c>
      <c r="L5" s="35">
        <v>23896</v>
      </c>
      <c r="M5" s="35">
        <v>25253</v>
      </c>
      <c r="N5" s="35">
        <v>31369</v>
      </c>
      <c r="O5" s="35">
        <v>23814</v>
      </c>
      <c r="P5" s="35">
        <v>36275</v>
      </c>
      <c r="Q5" s="35">
        <v>15888</v>
      </c>
      <c r="R5" s="35">
        <v>45804</v>
      </c>
      <c r="S5" s="35">
        <v>39169</v>
      </c>
      <c r="T5" s="35">
        <v>56050</v>
      </c>
      <c r="U5" s="65">
        <v>35364</v>
      </c>
    </row>
    <row r="6" spans="1:22" hidden="1" x14ac:dyDescent="0.25">
      <c r="A6" s="37" t="s">
        <v>29</v>
      </c>
      <c r="B6" s="44" t="str">
        <f t="shared" si="0"/>
        <v/>
      </c>
      <c r="C6" s="75">
        <f>E6-[1]France!E6</f>
        <v>0</v>
      </c>
      <c r="D6" s="35">
        <f>F6-[1]France!F6</f>
        <v>0</v>
      </c>
      <c r="E6" s="40"/>
      <c r="F6" s="35"/>
      <c r="G6" s="35"/>
      <c r="H6" s="105"/>
      <c r="I6" s="35"/>
      <c r="J6" s="35"/>
      <c r="K6" s="35"/>
      <c r="L6" s="35"/>
      <c r="M6" s="35"/>
      <c r="N6" s="35"/>
      <c r="O6" s="35"/>
      <c r="P6" s="35"/>
      <c r="Q6" s="35"/>
      <c r="R6" s="35">
        <v>1048</v>
      </c>
      <c r="S6" s="35">
        <v>1811</v>
      </c>
      <c r="T6" s="35">
        <v>3569</v>
      </c>
      <c r="U6" s="65">
        <v>3594</v>
      </c>
    </row>
    <row r="7" spans="1:22" x14ac:dyDescent="0.25">
      <c r="A7" s="37" t="s">
        <v>145</v>
      </c>
      <c r="B7" s="44">
        <f t="shared" si="0"/>
        <v>0.43991160972293053</v>
      </c>
      <c r="C7" s="75">
        <f>E7-[1]France!E7</f>
        <v>-1267</v>
      </c>
      <c r="D7" s="35">
        <f>F7-[1]France!F7</f>
        <v>-2455</v>
      </c>
      <c r="E7" s="40">
        <v>8471</v>
      </c>
      <c r="F7" s="35">
        <v>5883</v>
      </c>
      <c r="G7" s="35">
        <v>4014</v>
      </c>
      <c r="H7" s="105">
        <v>5069</v>
      </c>
      <c r="I7" s="35">
        <v>4481</v>
      </c>
      <c r="J7" s="35">
        <v>5127</v>
      </c>
      <c r="K7" s="35">
        <v>4774</v>
      </c>
      <c r="L7" s="35">
        <v>3720</v>
      </c>
      <c r="M7" s="35">
        <v>3602</v>
      </c>
      <c r="N7" s="35">
        <v>3510</v>
      </c>
      <c r="O7" s="35">
        <v>2214</v>
      </c>
      <c r="P7" s="35">
        <v>1269</v>
      </c>
      <c r="Q7" s="35">
        <v>1098</v>
      </c>
      <c r="R7" s="35">
        <v>2330</v>
      </c>
      <c r="S7" s="35">
        <v>1925</v>
      </c>
      <c r="T7" s="35">
        <v>155</v>
      </c>
      <c r="U7" s="65"/>
    </row>
    <row r="8" spans="1:22" x14ac:dyDescent="0.25">
      <c r="A8" s="37" t="s">
        <v>61</v>
      </c>
      <c r="B8" s="44">
        <f t="shared" si="0"/>
        <v>5.0045326873634721E-2</v>
      </c>
      <c r="C8" s="75">
        <f>E8-[1]France!E8</f>
        <v>-14358</v>
      </c>
      <c r="D8" s="35">
        <f>F8-[1]France!F8</f>
        <v>-12791</v>
      </c>
      <c r="E8" s="40">
        <v>141313</v>
      </c>
      <c r="F8" s="35">
        <v>134578</v>
      </c>
      <c r="G8" s="35">
        <v>121468</v>
      </c>
      <c r="H8" s="105">
        <v>96461</v>
      </c>
      <c r="I8" s="35">
        <v>106392</v>
      </c>
      <c r="J8" s="35">
        <v>103663</v>
      </c>
      <c r="K8" s="35">
        <v>98140</v>
      </c>
      <c r="L8" s="35">
        <v>83276</v>
      </c>
      <c r="M8" s="35">
        <v>81144</v>
      </c>
      <c r="N8" s="35">
        <v>80576</v>
      </c>
      <c r="O8" s="35">
        <v>77973</v>
      </c>
      <c r="P8" s="35">
        <v>72391</v>
      </c>
      <c r="Q8" s="35">
        <v>46324</v>
      </c>
      <c r="R8" s="35">
        <v>61037</v>
      </c>
      <c r="S8" s="35">
        <v>51425</v>
      </c>
      <c r="T8" s="35">
        <v>49442</v>
      </c>
      <c r="U8" s="65"/>
    </row>
    <row r="9" spans="1:22" x14ac:dyDescent="0.25">
      <c r="A9" s="37" t="s">
        <v>2</v>
      </c>
      <c r="B9" s="44">
        <f t="shared" si="0"/>
        <v>-0.39291465378421897</v>
      </c>
      <c r="C9" s="75">
        <f>E9-[1]France!E9</f>
        <v>-1357</v>
      </c>
      <c r="D9" s="35">
        <f>F9-[1]France!F9</f>
        <v>-112</v>
      </c>
      <c r="E9" s="40">
        <v>1131</v>
      </c>
      <c r="F9" s="35">
        <v>1863</v>
      </c>
      <c r="G9" s="35">
        <v>1234</v>
      </c>
      <c r="H9" s="105">
        <v>2158</v>
      </c>
      <c r="I9" s="35">
        <v>947</v>
      </c>
      <c r="J9" s="35">
        <v>1689</v>
      </c>
      <c r="K9" s="35">
        <v>2227</v>
      </c>
      <c r="L9" s="35">
        <v>1681</v>
      </c>
      <c r="M9" s="35">
        <v>701</v>
      </c>
      <c r="N9" s="35">
        <v>505</v>
      </c>
      <c r="O9" s="35">
        <v>838</v>
      </c>
      <c r="P9" s="35">
        <v>1036</v>
      </c>
      <c r="Q9" s="35">
        <v>743</v>
      </c>
      <c r="R9" s="35">
        <v>1445</v>
      </c>
      <c r="S9" s="35">
        <v>1096</v>
      </c>
      <c r="T9" s="35">
        <v>2034</v>
      </c>
      <c r="U9" s="65">
        <v>781</v>
      </c>
    </row>
    <row r="10" spans="1:22" x14ac:dyDescent="0.25">
      <c r="A10" s="37" t="s">
        <v>12</v>
      </c>
      <c r="B10" s="44">
        <f t="shared" si="0"/>
        <v>-8.3190705876251214E-2</v>
      </c>
      <c r="C10" s="75">
        <f>E10-[1]France!E10</f>
        <v>-2303</v>
      </c>
      <c r="D10" s="35">
        <f>F10-[1]France!F10</f>
        <v>-5585</v>
      </c>
      <c r="E10" s="40">
        <v>17677</v>
      </c>
      <c r="F10" s="35">
        <v>19281</v>
      </c>
      <c r="G10" s="35">
        <v>14164</v>
      </c>
      <c r="H10" s="105">
        <v>28352</v>
      </c>
      <c r="I10" s="35">
        <v>21600</v>
      </c>
      <c r="J10" s="35">
        <v>28842</v>
      </c>
      <c r="K10" s="35">
        <v>14767</v>
      </c>
      <c r="L10" s="35">
        <v>22232</v>
      </c>
      <c r="M10" s="35">
        <v>17355</v>
      </c>
      <c r="N10" s="35">
        <v>22725</v>
      </c>
      <c r="O10" s="35">
        <v>15084</v>
      </c>
      <c r="P10" s="35">
        <v>25773</v>
      </c>
      <c r="Q10" s="35">
        <v>11886</v>
      </c>
      <c r="R10" s="35">
        <v>20625</v>
      </c>
      <c r="S10" s="35">
        <v>20883</v>
      </c>
      <c r="T10" s="35">
        <v>21477</v>
      </c>
      <c r="U10" s="65">
        <v>15320</v>
      </c>
    </row>
    <row r="11" spans="1:22" x14ac:dyDescent="0.25">
      <c r="A11" s="37" t="s">
        <v>9</v>
      </c>
      <c r="B11" s="44">
        <f t="shared" si="0"/>
        <v>-9.5714414063669873E-2</v>
      </c>
      <c r="C11" s="75">
        <f>E11-[1]France!E11</f>
        <v>-18730</v>
      </c>
      <c r="D11" s="35">
        <f>F11-[1]France!F11</f>
        <v>-7352</v>
      </c>
      <c r="E11" s="40">
        <v>60390</v>
      </c>
      <c r="F11" s="35">
        <v>66782</v>
      </c>
      <c r="G11" s="35">
        <v>69353</v>
      </c>
      <c r="H11" s="105">
        <v>95454</v>
      </c>
      <c r="I11" s="35">
        <v>95634</v>
      </c>
      <c r="J11" s="35">
        <v>101978</v>
      </c>
      <c r="K11" s="35">
        <v>80899</v>
      </c>
      <c r="L11" s="35">
        <v>77832</v>
      </c>
      <c r="M11" s="35">
        <v>60646</v>
      </c>
      <c r="N11" s="35">
        <v>48072</v>
      </c>
      <c r="O11" s="35">
        <v>51433</v>
      </c>
      <c r="P11" s="35">
        <v>56269</v>
      </c>
      <c r="Q11" s="35">
        <v>38681</v>
      </c>
      <c r="R11" s="35">
        <v>57883</v>
      </c>
      <c r="S11" s="35">
        <v>59477</v>
      </c>
      <c r="T11" s="35">
        <v>55320</v>
      </c>
      <c r="U11" s="65">
        <v>48775</v>
      </c>
    </row>
    <row r="12" spans="1:22" x14ac:dyDescent="0.25">
      <c r="A12" s="37" t="s">
        <v>3</v>
      </c>
      <c r="B12" s="44">
        <f t="shared" si="0"/>
        <v>-1.5947358234952635E-2</v>
      </c>
      <c r="C12" s="75">
        <f>E12-[1]France!E12</f>
        <v>-15371</v>
      </c>
      <c r="D12" s="35">
        <f>F12-[1]France!F12</f>
        <v>-13920</v>
      </c>
      <c r="E12" s="40">
        <v>152538</v>
      </c>
      <c r="F12" s="35">
        <v>155010</v>
      </c>
      <c r="G12" s="35">
        <v>119080</v>
      </c>
      <c r="H12" s="105">
        <v>146328</v>
      </c>
      <c r="I12" s="35">
        <v>130841</v>
      </c>
      <c r="J12" s="35">
        <v>192996</v>
      </c>
      <c r="K12" s="35">
        <v>164768</v>
      </c>
      <c r="L12" s="35">
        <v>172941</v>
      </c>
      <c r="M12" s="35">
        <v>186687</v>
      </c>
      <c r="N12" s="35">
        <v>194612</v>
      </c>
      <c r="O12" s="35">
        <v>187022</v>
      </c>
      <c r="P12" s="35">
        <v>222457</v>
      </c>
      <c r="Q12" s="35">
        <v>121350</v>
      </c>
      <c r="R12" s="35">
        <v>206929</v>
      </c>
      <c r="S12" s="35">
        <v>209945</v>
      </c>
      <c r="T12" s="35">
        <v>231775</v>
      </c>
      <c r="U12" s="65">
        <v>157006</v>
      </c>
    </row>
    <row r="13" spans="1:22" x14ac:dyDescent="0.25">
      <c r="A13" s="37" t="s">
        <v>137</v>
      </c>
      <c r="B13" s="44">
        <f t="shared" si="0"/>
        <v>2.5656877897990649E-2</v>
      </c>
      <c r="C13" s="75">
        <f>E13-[1]France!E13</f>
        <v>-487</v>
      </c>
      <c r="D13" s="35">
        <f>F13-[1]France!F13</f>
        <v>-308</v>
      </c>
      <c r="E13" s="40">
        <v>3318</v>
      </c>
      <c r="F13" s="35">
        <v>3235</v>
      </c>
      <c r="G13" s="35">
        <v>2705</v>
      </c>
      <c r="H13" s="105">
        <v>3527</v>
      </c>
      <c r="I13" s="35">
        <v>2830</v>
      </c>
      <c r="J13" s="35">
        <v>3039</v>
      </c>
      <c r="K13" s="35">
        <v>2630</v>
      </c>
      <c r="L13" s="35">
        <v>2478</v>
      </c>
      <c r="M13" s="35">
        <v>2064</v>
      </c>
      <c r="N13" s="35">
        <v>2283</v>
      </c>
      <c r="O13" s="35">
        <v>2771</v>
      </c>
      <c r="P13" s="35">
        <v>3125</v>
      </c>
      <c r="Q13" s="35">
        <v>1955</v>
      </c>
      <c r="R13" s="35">
        <v>3674</v>
      </c>
      <c r="S13" s="35">
        <v>1964</v>
      </c>
      <c r="T13" s="35">
        <v>1716</v>
      </c>
      <c r="U13" s="65">
        <v>466</v>
      </c>
    </row>
    <row r="14" spans="1:22" x14ac:dyDescent="0.25">
      <c r="A14" s="37" t="s">
        <v>17</v>
      </c>
      <c r="B14" s="44">
        <f t="shared" si="0"/>
        <v>-0.15700089282248364</v>
      </c>
      <c r="C14" s="75">
        <f>E14-[1]France!E14</f>
        <v>-9051</v>
      </c>
      <c r="D14" s="35">
        <f>F14-[1]France!F14</f>
        <v>-6663</v>
      </c>
      <c r="E14" s="40">
        <v>43433</v>
      </c>
      <c r="F14" s="35">
        <v>51522</v>
      </c>
      <c r="G14" s="35">
        <v>61223</v>
      </c>
      <c r="H14" s="105">
        <v>57489</v>
      </c>
      <c r="I14" s="35">
        <v>61770</v>
      </c>
      <c r="J14" s="35">
        <v>67806</v>
      </c>
      <c r="K14" s="35">
        <v>59284</v>
      </c>
      <c r="L14" s="35">
        <v>70875</v>
      </c>
      <c r="M14" s="35">
        <v>58451</v>
      </c>
      <c r="N14" s="35">
        <v>78474</v>
      </c>
      <c r="O14" s="35">
        <v>60776</v>
      </c>
      <c r="P14" s="35">
        <v>80968</v>
      </c>
      <c r="Q14" s="35">
        <v>51992</v>
      </c>
      <c r="R14" s="35">
        <v>75463</v>
      </c>
      <c r="S14" s="35">
        <v>66298</v>
      </c>
      <c r="T14" s="35">
        <v>68901</v>
      </c>
      <c r="U14" s="65">
        <v>62971</v>
      </c>
    </row>
    <row r="15" spans="1:22" x14ac:dyDescent="0.25">
      <c r="A15" s="37" t="s">
        <v>128</v>
      </c>
      <c r="B15" s="44">
        <f t="shared" si="0"/>
        <v>-0.46681867274690991</v>
      </c>
      <c r="C15" s="75">
        <f>E15-[1]France!E15</f>
        <v>-2102</v>
      </c>
      <c r="D15" s="35">
        <f>F15-[1]France!F15</f>
        <v>-153</v>
      </c>
      <c r="E15" s="40">
        <v>4443</v>
      </c>
      <c r="F15" s="35">
        <v>8333</v>
      </c>
      <c r="G15" s="35">
        <v>8585</v>
      </c>
      <c r="H15" s="105">
        <v>9830</v>
      </c>
      <c r="I15" s="35">
        <v>1665</v>
      </c>
      <c r="J15" s="35">
        <v>7337</v>
      </c>
      <c r="K15" s="35">
        <v>5119</v>
      </c>
      <c r="L15" s="35">
        <v>4516</v>
      </c>
      <c r="M15" s="35">
        <v>5452</v>
      </c>
      <c r="N15" s="35">
        <v>4630</v>
      </c>
      <c r="O15" s="35">
        <v>8008</v>
      </c>
      <c r="P15" s="35">
        <v>6756</v>
      </c>
      <c r="Q15" s="35">
        <v>3681</v>
      </c>
      <c r="R15" s="35">
        <v>1370</v>
      </c>
      <c r="S15" s="35">
        <v>3977</v>
      </c>
      <c r="T15" s="35">
        <v>672</v>
      </c>
      <c r="U15" s="65">
        <v>5875</v>
      </c>
    </row>
    <row r="16" spans="1:22" x14ac:dyDescent="0.25">
      <c r="A16" s="37" t="s">
        <v>10</v>
      </c>
      <c r="B16" s="44" t="str">
        <f t="shared" si="0"/>
        <v/>
      </c>
      <c r="C16" s="75">
        <f>E16-[1]France!E16</f>
        <v>0</v>
      </c>
      <c r="D16" s="35">
        <f>F16-[1]France!F16</f>
        <v>0</v>
      </c>
      <c r="E16" s="40"/>
      <c r="F16" s="35"/>
      <c r="G16" s="35"/>
      <c r="H16" s="105"/>
      <c r="I16" s="35">
        <v>1100</v>
      </c>
      <c r="J16" s="35">
        <v>1340</v>
      </c>
      <c r="K16" s="35">
        <v>915</v>
      </c>
      <c r="L16" s="35">
        <v>1121</v>
      </c>
      <c r="M16" s="35">
        <v>884</v>
      </c>
      <c r="N16" s="35">
        <v>964</v>
      </c>
      <c r="O16" s="35">
        <v>969</v>
      </c>
      <c r="P16" s="35">
        <v>1724</v>
      </c>
      <c r="Q16" s="35">
        <v>916</v>
      </c>
      <c r="R16" s="35">
        <v>1562</v>
      </c>
      <c r="S16" s="35">
        <v>1748</v>
      </c>
      <c r="T16" s="35">
        <v>2154</v>
      </c>
      <c r="U16" s="65">
        <v>1724</v>
      </c>
      <c r="V16" s="1"/>
    </row>
    <row r="17" spans="1:22" x14ac:dyDescent="0.25">
      <c r="A17" s="37" t="s">
        <v>127</v>
      </c>
      <c r="B17" s="44">
        <f t="shared" si="0"/>
        <v>-0.17456791220509171</v>
      </c>
      <c r="C17" s="75">
        <f>E17-[1]France!E17</f>
        <v>-2299</v>
      </c>
      <c r="D17" s="35">
        <f>F17-[1]France!F17</f>
        <v>-2217</v>
      </c>
      <c r="E17" s="40">
        <v>18578</v>
      </c>
      <c r="F17" s="35">
        <v>22507</v>
      </c>
      <c r="G17" s="35">
        <v>23247</v>
      </c>
      <c r="H17" s="105">
        <v>28372</v>
      </c>
      <c r="I17" s="35">
        <v>18666</v>
      </c>
      <c r="J17" s="35">
        <v>17993</v>
      </c>
      <c r="K17" s="35">
        <v>14762</v>
      </c>
      <c r="L17" s="35">
        <v>13531</v>
      </c>
      <c r="M17" s="35">
        <v>10163</v>
      </c>
      <c r="N17" s="35">
        <v>11422</v>
      </c>
      <c r="O17" s="35">
        <v>8707</v>
      </c>
      <c r="P17" s="35">
        <v>8284</v>
      </c>
      <c r="Q17" s="35">
        <v>5980</v>
      </c>
      <c r="R17" s="35">
        <v>9406</v>
      </c>
      <c r="S17" s="35">
        <v>7559</v>
      </c>
      <c r="T17" s="35">
        <v>10043</v>
      </c>
      <c r="U17" s="65">
        <v>3147</v>
      </c>
      <c r="V17" s="1"/>
    </row>
    <row r="18" spans="1:22" x14ac:dyDescent="0.25">
      <c r="A18" s="37" t="s">
        <v>27</v>
      </c>
      <c r="B18" s="44">
        <f t="shared" si="0"/>
        <v>5.5726388453090747E-2</v>
      </c>
      <c r="C18" s="75">
        <f>E18-[1]France!E18</f>
        <v>-1875</v>
      </c>
      <c r="D18" s="35">
        <f>F18-[1]France!F18</f>
        <v>-680</v>
      </c>
      <c r="E18" s="40">
        <v>16823</v>
      </c>
      <c r="F18" s="35">
        <v>15935</v>
      </c>
      <c r="G18" s="35">
        <v>8828</v>
      </c>
      <c r="H18" s="105">
        <v>14450</v>
      </c>
      <c r="I18" s="35">
        <v>11670</v>
      </c>
      <c r="J18" s="35">
        <v>12543</v>
      </c>
      <c r="K18" s="35">
        <v>11880</v>
      </c>
      <c r="L18" s="35">
        <v>9640</v>
      </c>
      <c r="M18" s="35">
        <v>8688</v>
      </c>
      <c r="N18" s="35">
        <v>8899</v>
      </c>
      <c r="O18" s="35">
        <v>4569</v>
      </c>
      <c r="P18" s="35">
        <v>5377</v>
      </c>
      <c r="Q18" s="35">
        <v>2452</v>
      </c>
      <c r="R18" s="35">
        <v>6423</v>
      </c>
      <c r="S18" s="35">
        <v>7304</v>
      </c>
      <c r="T18" s="35">
        <v>11802</v>
      </c>
      <c r="U18" s="65">
        <v>6939</v>
      </c>
      <c r="V18" s="1"/>
    </row>
    <row r="19" spans="1:22" x14ac:dyDescent="0.25">
      <c r="A19" s="37" t="s">
        <v>119</v>
      </c>
      <c r="B19" s="44">
        <f t="shared" si="0"/>
        <v>-0.1440329218106996</v>
      </c>
      <c r="C19" s="75">
        <f>E19-[1]France!E19</f>
        <v>-562</v>
      </c>
      <c r="D19" s="35">
        <f>F19-[1]France!F19</f>
        <v>-123</v>
      </c>
      <c r="E19" s="40">
        <v>208</v>
      </c>
      <c r="F19" s="35">
        <v>243</v>
      </c>
      <c r="G19" s="35">
        <v>102</v>
      </c>
      <c r="H19" s="105">
        <v>723</v>
      </c>
      <c r="I19" s="35">
        <v>247</v>
      </c>
      <c r="J19" s="35">
        <v>649</v>
      </c>
      <c r="K19" s="35">
        <v>379</v>
      </c>
      <c r="L19" s="35">
        <v>115</v>
      </c>
      <c r="M19" s="35">
        <v>69</v>
      </c>
      <c r="N19" s="35">
        <v>278</v>
      </c>
      <c r="O19" s="35">
        <v>200</v>
      </c>
      <c r="P19" s="35">
        <v>367</v>
      </c>
      <c r="Q19" s="35">
        <v>204</v>
      </c>
      <c r="R19" s="35">
        <v>1013</v>
      </c>
      <c r="S19" s="35">
        <v>281</v>
      </c>
      <c r="T19" s="35">
        <v>766</v>
      </c>
      <c r="U19" s="65">
        <v>259</v>
      </c>
    </row>
    <row r="20" spans="1:22" x14ac:dyDescent="0.25">
      <c r="A20" s="37" t="s">
        <v>88</v>
      </c>
      <c r="B20" s="44">
        <f t="shared" si="0"/>
        <v>-0.180966275742102</v>
      </c>
      <c r="C20" s="75">
        <f>E20-[1]France!E20</f>
        <v>-3621</v>
      </c>
      <c r="D20" s="35">
        <f>F20-[1]France!F20</f>
        <v>-5941</v>
      </c>
      <c r="E20" s="40">
        <v>14596</v>
      </c>
      <c r="F20" s="35">
        <v>17821</v>
      </c>
      <c r="G20" s="35">
        <v>14272</v>
      </c>
      <c r="H20" s="105">
        <v>18070</v>
      </c>
      <c r="I20" s="35">
        <v>14542</v>
      </c>
      <c r="J20" s="35">
        <v>14599</v>
      </c>
      <c r="K20" s="35">
        <v>13828</v>
      </c>
      <c r="L20" s="35">
        <v>13311</v>
      </c>
      <c r="M20" s="35">
        <v>10733</v>
      </c>
      <c r="N20" s="35">
        <v>11980</v>
      </c>
      <c r="O20" s="35">
        <v>11647</v>
      </c>
      <c r="P20" s="35">
        <v>14668</v>
      </c>
      <c r="Q20" s="35">
        <v>5405</v>
      </c>
      <c r="R20" s="35">
        <v>15636</v>
      </c>
      <c r="S20" s="35">
        <v>14600</v>
      </c>
      <c r="T20" s="35">
        <v>14922</v>
      </c>
      <c r="U20" s="65">
        <v>12800</v>
      </c>
    </row>
    <row r="21" spans="1:22" x14ac:dyDescent="0.25">
      <c r="A21" s="37" t="s">
        <v>126</v>
      </c>
      <c r="B21" s="44">
        <f t="shared" si="0"/>
        <v>2.3585404547858291E-2</v>
      </c>
      <c r="C21" s="75">
        <f>E21-[1]France!E21</f>
        <v>-1792</v>
      </c>
      <c r="D21" s="35">
        <f>F21-[1]France!F21</f>
        <v>-895</v>
      </c>
      <c r="E21" s="40">
        <v>9678</v>
      </c>
      <c r="F21" s="35">
        <v>9455</v>
      </c>
      <c r="G21" s="35">
        <v>9922</v>
      </c>
      <c r="H21" s="105">
        <v>13654</v>
      </c>
      <c r="I21" s="35">
        <v>15015</v>
      </c>
      <c r="J21" s="35">
        <v>22981</v>
      </c>
      <c r="K21" s="35">
        <v>15744</v>
      </c>
      <c r="L21" s="35">
        <v>17672</v>
      </c>
      <c r="M21" s="35">
        <v>12995</v>
      </c>
      <c r="N21" s="35">
        <v>17324</v>
      </c>
      <c r="O21" s="35">
        <v>11518</v>
      </c>
      <c r="P21" s="35">
        <v>19377</v>
      </c>
      <c r="Q21" s="35">
        <v>8719</v>
      </c>
      <c r="R21" s="35">
        <v>15894</v>
      </c>
      <c r="S21" s="35">
        <v>15534</v>
      </c>
      <c r="T21" s="35">
        <v>20693</v>
      </c>
      <c r="U21" s="65">
        <v>13152</v>
      </c>
    </row>
    <row r="22" spans="1:22" hidden="1" x14ac:dyDescent="0.25">
      <c r="A22" s="37" t="s">
        <v>115</v>
      </c>
      <c r="B22" s="44" t="str">
        <f t="shared" si="0"/>
        <v/>
      </c>
      <c r="C22" s="75">
        <f>E22-[1]France!E22</f>
        <v>0</v>
      </c>
      <c r="D22" s="35">
        <f>F22-[1]France!F22</f>
        <v>0</v>
      </c>
      <c r="E22" s="40"/>
      <c r="F22" s="35"/>
      <c r="G22" s="35"/>
      <c r="H22" s="105"/>
      <c r="I22" s="35">
        <v>886</v>
      </c>
      <c r="J22" s="35">
        <v>1477</v>
      </c>
      <c r="K22" s="35">
        <v>1043</v>
      </c>
      <c r="L22" s="35">
        <v>688</v>
      </c>
      <c r="M22" s="35">
        <v>523</v>
      </c>
      <c r="N22" s="35">
        <v>1282</v>
      </c>
      <c r="O22" s="35">
        <v>673</v>
      </c>
      <c r="P22" s="35">
        <v>1869</v>
      </c>
      <c r="Q22" s="35">
        <v>752</v>
      </c>
      <c r="R22" s="35">
        <v>1464</v>
      </c>
      <c r="S22" s="35">
        <v>1049</v>
      </c>
      <c r="T22" s="35">
        <v>2339</v>
      </c>
      <c r="U22" s="65">
        <v>553</v>
      </c>
    </row>
    <row r="23" spans="1:22" hidden="1" x14ac:dyDescent="0.25">
      <c r="A23" s="37" t="s">
        <v>129</v>
      </c>
      <c r="B23" s="44" t="str">
        <f t="shared" si="0"/>
        <v/>
      </c>
      <c r="C23" s="75">
        <f>E23-[1]France!E23</f>
        <v>0</v>
      </c>
      <c r="D23" s="35">
        <f>F23-[1]France!F23</f>
        <v>0</v>
      </c>
      <c r="E23" s="40"/>
      <c r="F23" s="35"/>
      <c r="G23" s="35"/>
      <c r="H23" s="105"/>
      <c r="I23" s="35">
        <v>10414</v>
      </c>
      <c r="J23" s="35">
        <v>10410</v>
      </c>
      <c r="K23" s="35">
        <v>10317</v>
      </c>
      <c r="L23" s="35">
        <v>7931</v>
      </c>
      <c r="M23" s="35">
        <v>6090</v>
      </c>
      <c r="N23" s="35">
        <v>6299</v>
      </c>
      <c r="O23" s="35">
        <v>7715</v>
      </c>
      <c r="P23" s="35">
        <v>5873</v>
      </c>
      <c r="Q23" s="35">
        <v>6204</v>
      </c>
      <c r="R23" s="35">
        <v>6513</v>
      </c>
      <c r="S23" s="35">
        <v>1840</v>
      </c>
      <c r="T23" s="35">
        <v>1841</v>
      </c>
      <c r="U23" s="65">
        <v>1620</v>
      </c>
    </row>
    <row r="24" spans="1:22" x14ac:dyDescent="0.25">
      <c r="A24" s="37" t="s">
        <v>124</v>
      </c>
      <c r="B24" s="44">
        <f t="shared" si="0"/>
        <v>35.306122448979593</v>
      </c>
      <c r="C24" s="75">
        <f>E24-[1]France!E24</f>
        <v>-377</v>
      </c>
      <c r="D24" s="35">
        <f>F24-[1]France!F24</f>
        <v>-1982</v>
      </c>
      <c r="E24" s="40">
        <v>1779</v>
      </c>
      <c r="F24" s="35">
        <v>49</v>
      </c>
      <c r="G24" s="35">
        <v>2377</v>
      </c>
      <c r="H24" s="105">
        <v>2443</v>
      </c>
      <c r="I24" s="35">
        <v>2261</v>
      </c>
      <c r="J24" s="35">
        <v>2942</v>
      </c>
      <c r="K24" s="35">
        <v>3509</v>
      </c>
      <c r="L24" s="35">
        <v>3293</v>
      </c>
      <c r="M24" s="35">
        <v>3786</v>
      </c>
      <c r="N24" s="35">
        <v>4409</v>
      </c>
      <c r="O24" s="35">
        <v>2887</v>
      </c>
      <c r="P24" s="35">
        <v>5488</v>
      </c>
      <c r="Q24" s="35">
        <v>4185</v>
      </c>
      <c r="R24" s="35">
        <v>4282</v>
      </c>
      <c r="S24" s="35">
        <v>4057</v>
      </c>
      <c r="T24" s="35">
        <v>4728</v>
      </c>
      <c r="U24" s="65">
        <v>3027</v>
      </c>
    </row>
    <row r="25" spans="1:22" ht="13.8" thickBot="1" x14ac:dyDescent="0.3">
      <c r="A25" s="37" t="s">
        <v>6</v>
      </c>
      <c r="B25" s="44">
        <f t="shared" si="0"/>
        <v>2.3184942541080389E-2</v>
      </c>
      <c r="C25" s="75">
        <f>E25-[1]France!E25</f>
        <v>-10274</v>
      </c>
      <c r="D25" s="35">
        <f>F25-[1]France!F25</f>
        <v>-10527</v>
      </c>
      <c r="E25" s="40">
        <v>76215</v>
      </c>
      <c r="F25" s="35">
        <v>74488</v>
      </c>
      <c r="G25" s="35">
        <v>55806</v>
      </c>
      <c r="H25" s="105">
        <f>11095+11735+1466</f>
        <v>24296</v>
      </c>
      <c r="I25" s="35">
        <v>20848</v>
      </c>
      <c r="J25" s="35">
        <v>11326</v>
      </c>
      <c r="K25" s="35">
        <v>7486</v>
      </c>
      <c r="L25" s="35">
        <v>5261</v>
      </c>
      <c r="M25" s="35">
        <v>4104</v>
      </c>
      <c r="N25" s="35">
        <v>3216</v>
      </c>
      <c r="O25" s="35">
        <v>3628</v>
      </c>
      <c r="P25" s="35">
        <v>9566</v>
      </c>
      <c r="Q25" s="35">
        <v>3183</v>
      </c>
      <c r="R25" s="35">
        <v>6441</v>
      </c>
      <c r="S25" s="35">
        <v>8193</v>
      </c>
      <c r="T25" s="35">
        <v>6627</v>
      </c>
      <c r="U25" s="65">
        <v>7025</v>
      </c>
    </row>
    <row r="26" spans="1:22" ht="13.8" thickBot="1" x14ac:dyDescent="0.3">
      <c r="A26" s="36" t="s">
        <v>92</v>
      </c>
      <c r="B26" s="154">
        <f t="shared" si="0"/>
        <v>-2.5230533189548154E-2</v>
      </c>
      <c r="C26" s="155">
        <f>E26-[1]France!E26</f>
        <v>-92684</v>
      </c>
      <c r="D26" s="156">
        <f>F26-[1]France!F26</f>
        <v>-79680</v>
      </c>
      <c r="E26" s="157">
        <f t="shared" ref="E26:O26" si="1">SUM(E2:E25)</f>
        <v>620084</v>
      </c>
      <c r="F26" s="156">
        <f t="shared" si="1"/>
        <v>636134</v>
      </c>
      <c r="G26" s="156">
        <f t="shared" si="1"/>
        <v>559615</v>
      </c>
      <c r="H26" s="156">
        <f t="shared" si="1"/>
        <v>600112</v>
      </c>
      <c r="I26" s="156">
        <f t="shared" si="1"/>
        <v>570156</v>
      </c>
      <c r="J26" s="156">
        <f t="shared" si="1"/>
        <v>672186</v>
      </c>
      <c r="K26" s="156">
        <f t="shared" si="1"/>
        <v>565370</v>
      </c>
      <c r="L26" s="156">
        <f t="shared" si="1"/>
        <v>565865</v>
      </c>
      <c r="M26" s="43">
        <f t="shared" si="1"/>
        <v>533235</v>
      </c>
      <c r="N26" s="43">
        <f t="shared" si="1"/>
        <v>568112</v>
      </c>
      <c r="O26" s="43">
        <f t="shared" si="1"/>
        <v>519220</v>
      </c>
      <c r="P26" s="43">
        <f t="shared" ref="P26:U26" si="2">SUM(P2:P25)</f>
        <v>621666</v>
      </c>
      <c r="Q26" s="43">
        <f t="shared" si="2"/>
        <v>358361</v>
      </c>
      <c r="R26" s="43">
        <f t="shared" si="2"/>
        <v>586418</v>
      </c>
      <c r="S26" s="43">
        <f t="shared" si="2"/>
        <v>554187</v>
      </c>
      <c r="T26" s="43">
        <f t="shared" si="2"/>
        <v>601593</v>
      </c>
      <c r="U26" s="96">
        <f t="shared" si="2"/>
        <v>405285</v>
      </c>
    </row>
    <row r="27" spans="1:22" x14ac:dyDescent="0.25">
      <c r="B27" t="str">
        <f t="shared" si="0"/>
        <v/>
      </c>
    </row>
    <row r="28" spans="1:22" s="50" customFormat="1" ht="13.8" thickBot="1" x14ac:dyDescent="0.3">
      <c r="A28" s="77"/>
      <c r="B28" s="50" t="str">
        <f t="shared" si="0"/>
        <v/>
      </c>
    </row>
    <row r="29" spans="1:22" s="50" customFormat="1" ht="13.8" thickBot="1" x14ac:dyDescent="0.3">
      <c r="A29" s="36" t="s">
        <v>25</v>
      </c>
      <c r="B29" s="20" t="s">
        <v>182</v>
      </c>
      <c r="C29" s="46" t="s">
        <v>183</v>
      </c>
      <c r="D29" s="79" t="s">
        <v>180</v>
      </c>
      <c r="E29" s="127">
        <v>45658</v>
      </c>
      <c r="F29" s="82">
        <v>45292</v>
      </c>
      <c r="G29" s="82">
        <v>44927</v>
      </c>
      <c r="H29" s="82">
        <v>44562</v>
      </c>
      <c r="I29" s="82">
        <v>44197</v>
      </c>
      <c r="J29" s="82">
        <v>43831</v>
      </c>
      <c r="K29" s="82">
        <v>43466</v>
      </c>
      <c r="L29" s="21">
        <v>43101</v>
      </c>
      <c r="M29" s="21">
        <v>42736</v>
      </c>
      <c r="N29" s="21">
        <f>N1</f>
        <v>42370</v>
      </c>
      <c r="O29" s="21">
        <f>O1</f>
        <v>42005</v>
      </c>
      <c r="P29" s="21">
        <v>41640</v>
      </c>
      <c r="Q29" s="21">
        <v>41275</v>
      </c>
      <c r="R29" s="21">
        <v>40909</v>
      </c>
      <c r="S29" s="21">
        <v>40544</v>
      </c>
      <c r="T29" s="21">
        <v>40179</v>
      </c>
      <c r="U29" s="22">
        <v>39814</v>
      </c>
    </row>
    <row r="30" spans="1:22" x14ac:dyDescent="0.25">
      <c r="A30" s="53" t="s">
        <v>138</v>
      </c>
      <c r="B30" s="44">
        <f t="shared" si="0"/>
        <v>4.46253157451586E-2</v>
      </c>
      <c r="C30" s="75">
        <f>E30-[1]France!E30</f>
        <v>-18</v>
      </c>
      <c r="D30" s="35">
        <f>F30-[1]France!F30</f>
        <v>-76</v>
      </c>
      <c r="E30" s="40">
        <v>3722</v>
      </c>
      <c r="F30" s="35">
        <v>3563</v>
      </c>
      <c r="G30" s="35">
        <v>2389</v>
      </c>
      <c r="H30" s="105">
        <v>2747</v>
      </c>
      <c r="I30" s="143">
        <v>3461</v>
      </c>
      <c r="J30" s="35">
        <v>1816</v>
      </c>
      <c r="K30" s="35">
        <v>1869</v>
      </c>
      <c r="L30" s="35">
        <v>2271</v>
      </c>
      <c r="M30" s="105">
        <v>2516</v>
      </c>
      <c r="N30" s="35">
        <v>2131</v>
      </c>
      <c r="O30" s="35">
        <v>3319</v>
      </c>
      <c r="P30" s="35">
        <v>3978</v>
      </c>
      <c r="Q30" s="35">
        <v>1644</v>
      </c>
      <c r="R30" s="35">
        <v>2628</v>
      </c>
      <c r="S30" s="104"/>
      <c r="T30" s="104">
        <v>2895</v>
      </c>
      <c r="U30" s="101">
        <v>1261</v>
      </c>
    </row>
    <row r="31" spans="1:22" hidden="1" x14ac:dyDescent="0.25">
      <c r="A31" s="53" t="s">
        <v>139</v>
      </c>
      <c r="B31" s="44" t="str">
        <f t="shared" si="0"/>
        <v/>
      </c>
      <c r="C31" s="75">
        <f>E31-[1]France!E31</f>
        <v>0</v>
      </c>
      <c r="D31" s="35">
        <f>F31-[1]France!F31</f>
        <v>0</v>
      </c>
      <c r="E31" s="40"/>
      <c r="F31" s="35"/>
      <c r="G31" s="35"/>
      <c r="H31" s="105"/>
      <c r="I31" s="35"/>
      <c r="J31" s="35"/>
      <c r="K31" s="35"/>
      <c r="L31" s="35"/>
      <c r="M31" s="105"/>
      <c r="N31" s="35"/>
      <c r="O31" s="35"/>
      <c r="P31" s="35"/>
      <c r="Q31" s="35"/>
      <c r="R31" s="35"/>
      <c r="S31" s="105"/>
      <c r="T31" s="105">
        <v>0</v>
      </c>
      <c r="U31" s="101">
        <v>0</v>
      </c>
    </row>
    <row r="32" spans="1:22" x14ac:dyDescent="0.25">
      <c r="A32" s="53" t="s">
        <v>7</v>
      </c>
      <c r="B32" s="44">
        <f t="shared" si="0"/>
        <v>0.2823529411764707</v>
      </c>
      <c r="C32" s="75">
        <f>E32-[1]France!E32</f>
        <v>-1923</v>
      </c>
      <c r="D32" s="35">
        <f>F32-[1]France!F32</f>
        <v>-1734</v>
      </c>
      <c r="E32" s="40">
        <v>3924</v>
      </c>
      <c r="F32" s="35">
        <v>3060</v>
      </c>
      <c r="G32" s="35">
        <v>2202</v>
      </c>
      <c r="H32" s="105">
        <v>1815</v>
      </c>
      <c r="I32" s="35">
        <v>4654</v>
      </c>
      <c r="J32" s="35">
        <v>4182</v>
      </c>
      <c r="K32" s="35">
        <v>4031</v>
      </c>
      <c r="L32" s="35">
        <v>3544</v>
      </c>
      <c r="M32" s="35">
        <v>3266</v>
      </c>
      <c r="N32" s="35">
        <v>2422</v>
      </c>
      <c r="O32" s="35">
        <v>2326</v>
      </c>
      <c r="P32" s="35">
        <v>4130</v>
      </c>
      <c r="Q32" s="35">
        <v>1696</v>
      </c>
      <c r="R32" s="35">
        <v>3091</v>
      </c>
      <c r="S32" s="35"/>
      <c r="T32" s="35">
        <v>3169</v>
      </c>
      <c r="U32" s="65">
        <v>1481</v>
      </c>
    </row>
    <row r="33" spans="1:21" x14ac:dyDescent="0.25">
      <c r="A33" s="53" t="s">
        <v>93</v>
      </c>
      <c r="B33" s="44">
        <f t="shared" si="0"/>
        <v>0.54983202687569999</v>
      </c>
      <c r="C33" s="75">
        <f>E33-[1]France!E33</f>
        <v>-727</v>
      </c>
      <c r="D33" s="35">
        <f>F33-[1]France!F33</f>
        <v>-1086</v>
      </c>
      <c r="E33" s="40">
        <v>1384</v>
      </c>
      <c r="F33" s="35">
        <v>893</v>
      </c>
      <c r="G33" s="35">
        <v>870</v>
      </c>
      <c r="H33" s="105">
        <v>123</v>
      </c>
      <c r="I33" s="35">
        <v>1654</v>
      </c>
      <c r="J33" s="35">
        <v>984</v>
      </c>
      <c r="K33" s="35">
        <v>2150</v>
      </c>
      <c r="L33" s="35">
        <v>1304</v>
      </c>
      <c r="M33" s="35">
        <v>1097</v>
      </c>
      <c r="N33" s="35">
        <v>1287</v>
      </c>
      <c r="O33" s="35">
        <v>1413</v>
      </c>
      <c r="P33" s="35">
        <v>1110</v>
      </c>
      <c r="Q33" s="35">
        <v>145</v>
      </c>
      <c r="R33" s="35">
        <v>1435</v>
      </c>
      <c r="S33" s="35"/>
      <c r="T33" s="35">
        <v>1515</v>
      </c>
      <c r="U33" s="65">
        <v>529</v>
      </c>
    </row>
    <row r="34" spans="1:21" hidden="1" x14ac:dyDescent="0.25">
      <c r="A34" s="53" t="s">
        <v>140</v>
      </c>
      <c r="B34" s="44" t="str">
        <f t="shared" si="0"/>
        <v/>
      </c>
      <c r="C34" s="75">
        <f>E34-[1]France!E34</f>
        <v>-33</v>
      </c>
      <c r="D34" s="35">
        <f>F34-[1]France!F34</f>
        <v>0</v>
      </c>
      <c r="E34" s="40"/>
      <c r="F34" s="35"/>
      <c r="G34" s="35"/>
      <c r="H34" s="10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>
        <v>0</v>
      </c>
      <c r="U34" s="65">
        <v>0</v>
      </c>
    </row>
    <row r="35" spans="1:21" x14ac:dyDescent="0.25">
      <c r="A35" s="53" t="s">
        <v>141</v>
      </c>
      <c r="B35" s="44">
        <f t="shared" si="0"/>
        <v>0.38521400778210113</v>
      </c>
      <c r="C35" s="75">
        <f>E35-[1]France!E35</f>
        <v>-22</v>
      </c>
      <c r="D35" s="35">
        <f>F35-[1]France!F35</f>
        <v>-131</v>
      </c>
      <c r="E35" s="40">
        <v>356</v>
      </c>
      <c r="F35" s="35">
        <v>257</v>
      </c>
      <c r="G35" s="35">
        <v>562</v>
      </c>
      <c r="H35" s="105">
        <v>187</v>
      </c>
      <c r="I35" s="35">
        <v>1153</v>
      </c>
      <c r="J35" s="35">
        <v>710</v>
      </c>
      <c r="K35" s="35">
        <v>1109</v>
      </c>
      <c r="L35" s="35">
        <v>783</v>
      </c>
      <c r="M35" s="35">
        <v>958</v>
      </c>
      <c r="N35">
        <v>1238</v>
      </c>
      <c r="O35">
        <v>1017</v>
      </c>
      <c r="P35">
        <v>741</v>
      </c>
      <c r="Q35">
        <v>763</v>
      </c>
      <c r="R35">
        <v>621</v>
      </c>
      <c r="S35" s="35"/>
      <c r="T35" s="35">
        <v>950</v>
      </c>
      <c r="U35" s="65">
        <v>786</v>
      </c>
    </row>
    <row r="36" spans="1:21" x14ac:dyDescent="0.25">
      <c r="A36" s="53" t="s">
        <v>142</v>
      </c>
      <c r="B36" s="44">
        <f t="shared" si="0"/>
        <v>2.1594202898550723</v>
      </c>
      <c r="C36" s="75">
        <f>E36-[1]France!E36</f>
        <v>-1480</v>
      </c>
      <c r="D36" s="35">
        <f>F36-[1]France!F36</f>
        <v>-204</v>
      </c>
      <c r="E36" s="40">
        <v>436</v>
      </c>
      <c r="F36" s="35">
        <v>138</v>
      </c>
      <c r="G36" s="35">
        <v>12</v>
      </c>
      <c r="H36" s="105">
        <v>127</v>
      </c>
      <c r="I36" s="35">
        <v>193</v>
      </c>
      <c r="J36" s="35">
        <v>537</v>
      </c>
      <c r="K36" s="35">
        <v>325</v>
      </c>
      <c r="L36" s="35">
        <v>158</v>
      </c>
      <c r="M36" s="35">
        <v>23</v>
      </c>
      <c r="N36" s="35">
        <v>11</v>
      </c>
      <c r="O36" s="35"/>
      <c r="P36" s="35"/>
      <c r="Q36" s="35"/>
      <c r="R36" s="35"/>
      <c r="S36" s="35"/>
      <c r="T36" s="35">
        <v>0</v>
      </c>
      <c r="U36" s="65">
        <v>0</v>
      </c>
    </row>
    <row r="37" spans="1:21" ht="13.8" thickBot="1" x14ac:dyDescent="0.3">
      <c r="A37" s="53" t="s">
        <v>6</v>
      </c>
      <c r="B37" s="44">
        <f t="shared" si="0"/>
        <v>2.2180327868852459</v>
      </c>
      <c r="C37" s="75">
        <f>E37-[1]France!E37</f>
        <v>-3265</v>
      </c>
      <c r="D37" s="35">
        <f>F37-[1]France!F37</f>
        <v>-1031</v>
      </c>
      <c r="E37" s="40">
        <v>5889</v>
      </c>
      <c r="F37" s="35">
        <v>1830</v>
      </c>
      <c r="G37" s="35">
        <v>1687</v>
      </c>
      <c r="H37" s="105">
        <v>310</v>
      </c>
      <c r="I37" s="35">
        <v>1114</v>
      </c>
      <c r="J37" s="35">
        <v>491</v>
      </c>
      <c r="K37" s="35">
        <v>746</v>
      </c>
      <c r="L37" s="35">
        <v>871</v>
      </c>
      <c r="M37" s="35">
        <v>685</v>
      </c>
      <c r="N37">
        <v>88</v>
      </c>
      <c r="O37">
        <v>208</v>
      </c>
      <c r="P37">
        <v>538</v>
      </c>
      <c r="Q37">
        <v>397</v>
      </c>
      <c r="R37">
        <v>402</v>
      </c>
      <c r="S37" s="35"/>
      <c r="T37" s="35">
        <v>280</v>
      </c>
      <c r="U37" s="65">
        <v>36</v>
      </c>
    </row>
    <row r="38" spans="1:21" ht="13.8" thickBot="1" x14ac:dyDescent="0.3">
      <c r="A38" s="36" t="s">
        <v>92</v>
      </c>
      <c r="B38" s="154">
        <f t="shared" si="0"/>
        <v>0.61287342161995695</v>
      </c>
      <c r="C38" s="155">
        <f>E38-[1]France!E38</f>
        <v>-7468</v>
      </c>
      <c r="D38" s="156">
        <f>F38-[1]France!F38</f>
        <v>-4262</v>
      </c>
      <c r="E38" s="157">
        <f t="shared" ref="E38:L38" si="3">SUM(E30:E37)</f>
        <v>15711</v>
      </c>
      <c r="F38" s="156">
        <f t="shared" si="3"/>
        <v>9741</v>
      </c>
      <c r="G38" s="156">
        <f t="shared" si="3"/>
        <v>7722</v>
      </c>
      <c r="H38" s="156">
        <f t="shared" si="3"/>
        <v>5309</v>
      </c>
      <c r="I38" s="156">
        <f t="shared" si="3"/>
        <v>12229</v>
      </c>
      <c r="J38" s="156">
        <f t="shared" si="3"/>
        <v>8720</v>
      </c>
      <c r="K38" s="156">
        <f t="shared" si="3"/>
        <v>10230</v>
      </c>
      <c r="L38" s="156">
        <f t="shared" si="3"/>
        <v>8931</v>
      </c>
      <c r="M38" s="43">
        <f t="shared" ref="M38:R38" si="4">SUM(M30:M37)</f>
        <v>8545</v>
      </c>
      <c r="N38" s="43">
        <f t="shared" si="4"/>
        <v>7177</v>
      </c>
      <c r="O38" s="43">
        <f t="shared" si="4"/>
        <v>8283</v>
      </c>
      <c r="P38" s="43">
        <f t="shared" si="4"/>
        <v>10497</v>
      </c>
      <c r="Q38" s="43">
        <f t="shared" si="4"/>
        <v>4645</v>
      </c>
      <c r="R38" s="43">
        <f t="shared" si="4"/>
        <v>8177</v>
      </c>
      <c r="S38" s="43"/>
      <c r="T38" s="43">
        <f>SUM(T30:T37)</f>
        <v>8809</v>
      </c>
      <c r="U38" s="96">
        <f>SUM(U30:U37)</f>
        <v>4093</v>
      </c>
    </row>
    <row r="39" spans="1:21" x14ac:dyDescent="0.25">
      <c r="B39" t="str">
        <f t="shared" si="0"/>
        <v/>
      </c>
    </row>
    <row r="40" spans="1:21" x14ac:dyDescent="0.25">
      <c r="B40" t="str">
        <f t="shared" si="0"/>
        <v/>
      </c>
    </row>
    <row r="41" spans="1:21" x14ac:dyDescent="0.25">
      <c r="B41" t="str">
        <f t="shared" si="0"/>
        <v/>
      </c>
    </row>
    <row r="42" spans="1:21" x14ac:dyDescent="0.25">
      <c r="B42" t="str">
        <f t="shared" si="0"/>
        <v/>
      </c>
    </row>
    <row r="43" spans="1:21" x14ac:dyDescent="0.25">
      <c r="B43" t="str">
        <f t="shared" si="0"/>
        <v/>
      </c>
    </row>
    <row r="44" spans="1:21" x14ac:dyDescent="0.25">
      <c r="B44" t="str">
        <f t="shared" si="0"/>
        <v/>
      </c>
    </row>
    <row r="45" spans="1:21" x14ac:dyDescent="0.25">
      <c r="B45" t="str">
        <f t="shared" si="0"/>
        <v/>
      </c>
    </row>
    <row r="46" spans="1:21" x14ac:dyDescent="0.25">
      <c r="B46" t="str">
        <f t="shared" si="0"/>
        <v/>
      </c>
    </row>
    <row r="47" spans="1:21" x14ac:dyDescent="0.25">
      <c r="B47" t="str">
        <f t="shared" si="0"/>
        <v/>
      </c>
    </row>
    <row r="48" spans="1:21" x14ac:dyDescent="0.25">
      <c r="B48" t="str">
        <f t="shared" si="0"/>
        <v/>
      </c>
    </row>
    <row r="49" spans="2:2" x14ac:dyDescent="0.25">
      <c r="B49" t="str">
        <f t="shared" si="0"/>
        <v/>
      </c>
    </row>
    <row r="50" spans="2:2" x14ac:dyDescent="0.25">
      <c r="B50" t="str">
        <f t="shared" si="0"/>
        <v/>
      </c>
    </row>
  </sheetData>
  <pageMargins left="0.75" right="0.75" top="1" bottom="1" header="0.5" footer="0.5"/>
  <pageSetup paperSize="9" fitToHeight="3" orientation="landscape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d5a9754-d989-458f-8bd1-64889b46f6fa">
      <Terms xmlns="http://schemas.microsoft.com/office/infopath/2007/PartnerControls"/>
    </lcf76f155ced4ddcb4097134ff3c332f>
    <TaxCatchAll xmlns="0302a5af-5ac8-462a-a23b-b4d1027da431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B941D97F322B428ECE0E94A7E9CB38" ma:contentTypeVersion="18" ma:contentTypeDescription="Create a new document." ma:contentTypeScope="" ma:versionID="e90065a4aca47f5f70c76b0a3ef49ddc">
  <xsd:schema xmlns:xsd="http://www.w3.org/2001/XMLSchema" xmlns:xs="http://www.w3.org/2001/XMLSchema" xmlns:p="http://schemas.microsoft.com/office/2006/metadata/properties" xmlns:ns2="5d5a9754-d989-458f-8bd1-64889b46f6fa" xmlns:ns3="0302a5af-5ac8-462a-a23b-b4d1027da431" targetNamespace="http://schemas.microsoft.com/office/2006/metadata/properties" ma:root="true" ma:fieldsID="f7942a769a38551d87cb27a0311faa75" ns2:_="" ns3:_="">
    <xsd:import namespace="5d5a9754-d989-458f-8bd1-64889b46f6fa"/>
    <xsd:import namespace="0302a5af-5ac8-462a-a23b-b4d1027da43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5a9754-d989-458f-8bd1-64889b46f6f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20e4ba69-e80c-4913-b477-8a96dcaffc6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02a5af-5ac8-462a-a23b-b4d1027da431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86be234-e780-497d-b4dc-e60f5fc21a6b}" ma:internalName="TaxCatchAll" ma:showField="CatchAllData" ma:web="0302a5af-5ac8-462a-a23b-b4d1027da43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B603CB29-B69C-45B9-81A3-B2676D98A7DB}">
  <ds:schemaRefs>
    <ds:schemaRef ds:uri="http://schemas.microsoft.com/office/2006/metadata/properties"/>
    <ds:schemaRef ds:uri="5d5a9754-d989-458f-8bd1-64889b46f6fa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0302a5af-5ac8-462a-a23b-b4d1027da431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77C1B22-3EF9-4BC1-B9D0-A47DD37A201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d5a9754-d989-458f-8bd1-64889b46f6fa"/>
    <ds:schemaRef ds:uri="0302a5af-5ac8-462a-a23b-b4d1027da4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4655E8D-F157-F045-A498-B49D5EB0A441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0213C3D9-8F1F-8B4D-BB70-250AF0267E65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2</vt:i4>
      </vt:variant>
    </vt:vector>
  </HeadingPairs>
  <TitlesOfParts>
    <vt:vector size="20" baseType="lpstr">
      <vt:lpstr>Intro</vt:lpstr>
      <vt:lpstr>US</vt:lpstr>
      <vt:lpstr>Europe - country</vt:lpstr>
      <vt:lpstr>Europe - variety</vt:lpstr>
      <vt:lpstr>Austria</vt:lpstr>
      <vt:lpstr>Belgium</vt:lpstr>
      <vt:lpstr>Czech Republic</vt:lpstr>
      <vt:lpstr>Denmark</vt:lpstr>
      <vt:lpstr>France</vt:lpstr>
      <vt:lpstr>Germany</vt:lpstr>
      <vt:lpstr>Italy</vt:lpstr>
      <vt:lpstr>Poland</vt:lpstr>
      <vt:lpstr>Portugal</vt:lpstr>
      <vt:lpstr>Slovakia</vt:lpstr>
      <vt:lpstr>Spain</vt:lpstr>
      <vt:lpstr>Switzerland</vt:lpstr>
      <vt:lpstr>Netherlands</vt:lpstr>
      <vt:lpstr>UK</vt:lpstr>
      <vt:lpstr>'Europe - country'!Print_Area</vt:lpstr>
      <vt:lpstr>'Europe - variety'!Print_Area</vt:lpstr>
    </vt:vector>
  </TitlesOfParts>
  <Company>Freshfell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frederic</dc:creator>
  <cp:lastModifiedBy>Gil Kaufman</cp:lastModifiedBy>
  <cp:lastPrinted>2019-02-15T16:07:28Z</cp:lastPrinted>
  <dcterms:created xsi:type="dcterms:W3CDTF">2006-12-13T13:34:27Z</dcterms:created>
  <dcterms:modified xsi:type="dcterms:W3CDTF">2025-02-05T13:02:23Z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BUILTIN\Administrators</vt:lpwstr>
  </property>
  <property fmtid="{D5CDD505-2E9C-101B-9397-08002B2CF9AE}" pid="3" name="Order">
    <vt:lpwstr>423800.000000000</vt:lpwstr>
  </property>
  <property fmtid="{D5CDD505-2E9C-101B-9397-08002B2CF9AE}" pid="4" name="display_urn:schemas-microsoft-com:office:office#Author">
    <vt:lpwstr>BUILTIN\Administrators</vt:lpwstr>
  </property>
  <property fmtid="{D5CDD505-2E9C-101B-9397-08002B2CF9AE}" pid="5" name="ContentTypeId">
    <vt:lpwstr>0x01010052B941D97F322B428ECE0E94A7E9CB38</vt:lpwstr>
  </property>
  <property fmtid="{D5CDD505-2E9C-101B-9397-08002B2CF9AE}" pid="6" name="MediaServiceImageTags">
    <vt:lpwstr/>
  </property>
</Properties>
</file>