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718" documentId="13_ncr:4000b_{83E69526-ABC1-4E08-AACF-E931538D6593}" xr6:coauthVersionLast="47" xr6:coauthVersionMax="47" xr10:uidLastSave="{8803D88E-8AA1-45FB-94BF-AA4742451E9D}"/>
  <bookViews>
    <workbookView xWindow="28680" yWindow="-120" windowWidth="29040" windowHeight="15720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country'!$A$1:$Z$33</definedName>
    <definedName name="_xlnm.Print_Area" localSheetId="3">'Europe - variety'!$A$1:$T$44</definedName>
    <definedName name="_xlnm.Print_Area" localSheetId="8">France!$A$1:$S$26</definedName>
    <definedName name="_xlnm.Print_Area" localSheetId="1">US!$A$1:$Y$41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1" l="1"/>
  <c r="F26" i="29" l="1"/>
  <c r="E26" i="29"/>
  <c r="E18" i="34" l="1"/>
  <c r="E43" i="2" l="1"/>
  <c r="E42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7" i="1"/>
  <c r="E25" i="1"/>
  <c r="E24" i="1"/>
  <c r="E22" i="1"/>
  <c r="E5" i="1"/>
  <c r="E2" i="1"/>
  <c r="E32" i="2" l="1"/>
  <c r="E44" i="2"/>
  <c r="E19" i="30"/>
  <c r="B18" i="30"/>
  <c r="B17" i="30"/>
  <c r="B16" i="30"/>
  <c r="E12" i="30"/>
  <c r="E15" i="1" s="1"/>
  <c r="B11" i="30"/>
  <c r="B10" i="30"/>
  <c r="B9" i="30"/>
  <c r="B8" i="30"/>
  <c r="B7" i="30"/>
  <c r="B6" i="30"/>
  <c r="B5" i="30"/>
  <c r="B4" i="30"/>
  <c r="B3" i="30"/>
  <c r="B2" i="30"/>
  <c r="E15" i="32"/>
  <c r="B14" i="32"/>
  <c r="B13" i="32"/>
  <c r="B12" i="32"/>
  <c r="E8" i="32"/>
  <c r="B7" i="32"/>
  <c r="B6" i="32"/>
  <c r="B5" i="32"/>
  <c r="B4" i="32"/>
  <c r="B3" i="32"/>
  <c r="B2" i="32"/>
  <c r="E28" i="34"/>
  <c r="B27" i="34"/>
  <c r="B26" i="34"/>
  <c r="B25" i="34"/>
  <c r="B24" i="34"/>
  <c r="B23" i="34"/>
  <c r="E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E17" i="33"/>
  <c r="B16" i="33"/>
  <c r="B15" i="33"/>
  <c r="B14" i="33"/>
  <c r="B13" i="33"/>
  <c r="B12" i="33"/>
  <c r="E8" i="33"/>
  <c r="E12" i="1" s="1"/>
  <c r="B7" i="33"/>
  <c r="B6" i="33"/>
  <c r="B5" i="33"/>
  <c r="B4" i="33"/>
  <c r="B3" i="33"/>
  <c r="B2" i="33"/>
  <c r="B14" i="38"/>
  <c r="B13" i="38"/>
  <c r="B9" i="38"/>
  <c r="B8" i="38"/>
  <c r="B7" i="38"/>
  <c r="B6" i="38"/>
  <c r="B5" i="38"/>
  <c r="B4" i="38"/>
  <c r="B3" i="38"/>
  <c r="B2" i="38"/>
  <c r="E25" i="36"/>
  <c r="B24" i="36"/>
  <c r="B23" i="36"/>
  <c r="B22" i="36"/>
  <c r="E18" i="36"/>
  <c r="E9" i="1" s="1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E29" i="31"/>
  <c r="B29" i="31" s="1"/>
  <c r="B28" i="31"/>
  <c r="B27" i="31"/>
  <c r="B26" i="31"/>
  <c r="B25" i="31"/>
  <c r="B24" i="31"/>
  <c r="E20" i="31"/>
  <c r="E8" i="1" s="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6" i="29"/>
  <c r="B25" i="29"/>
  <c r="E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E38" i="35"/>
  <c r="B37" i="35"/>
  <c r="B36" i="35"/>
  <c r="B35" i="35"/>
  <c r="B34" i="35"/>
  <c r="B33" i="35"/>
  <c r="B32" i="35"/>
  <c r="B31" i="35"/>
  <c r="B30" i="35"/>
  <c r="E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E20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E21" i="27"/>
  <c r="B20" i="27"/>
  <c r="B19" i="27"/>
  <c r="B18" i="27"/>
  <c r="B17" i="27"/>
  <c r="B16" i="27"/>
  <c r="E12" i="27"/>
  <c r="E4" i="1" s="1"/>
  <c r="B11" i="27"/>
  <c r="B10" i="27"/>
  <c r="B9" i="27"/>
  <c r="B8" i="27"/>
  <c r="B7" i="27"/>
  <c r="B6" i="27"/>
  <c r="B5" i="27"/>
  <c r="B4" i="27"/>
  <c r="B3" i="27"/>
  <c r="B2" i="27"/>
  <c r="E20" i="26"/>
  <c r="B19" i="26"/>
  <c r="B18" i="26"/>
  <c r="B17" i="26"/>
  <c r="B16" i="26"/>
  <c r="B15" i="26"/>
  <c r="E10" i="26"/>
  <c r="B9" i="26"/>
  <c r="B8" i="26"/>
  <c r="B7" i="26"/>
  <c r="B6" i="26"/>
  <c r="B5" i="26"/>
  <c r="B4" i="26"/>
  <c r="B3" i="26"/>
  <c r="B2" i="26"/>
  <c r="E21" i="25"/>
  <c r="B21" i="25" s="1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36" i="2"/>
  <c r="B28" i="1"/>
  <c r="B27" i="1"/>
  <c r="B25" i="1"/>
  <c r="B22" i="1"/>
  <c r="B11" i="1"/>
  <c r="B10" i="1"/>
  <c r="B5" i="1"/>
  <c r="B2" i="1"/>
  <c r="E41" i="9"/>
  <c r="B40" i="9"/>
  <c r="B39" i="9"/>
  <c r="B38" i="9"/>
  <c r="B37" i="9"/>
  <c r="B36" i="9"/>
  <c r="B35" i="9"/>
  <c r="B34" i="9"/>
  <c r="B33" i="9"/>
  <c r="B32" i="9"/>
  <c r="B31" i="9"/>
  <c r="E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25" i="36" l="1"/>
  <c r="E26" i="1"/>
  <c r="E23" i="1"/>
  <c r="E6" i="1"/>
  <c r="E32" i="1"/>
  <c r="E29" i="1"/>
  <c r="E31" i="1"/>
  <c r="E14" i="1"/>
  <c r="E7" i="1"/>
  <c r="E21" i="1"/>
  <c r="E30" i="1"/>
  <c r="E13" i="1"/>
  <c r="E20" i="1"/>
  <c r="E3" i="1"/>
  <c r="B26" i="1" l="1"/>
  <c r="E33" i="1"/>
  <c r="E16" i="1"/>
  <c r="F43" i="2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B21" i="2" l="1"/>
  <c r="B41" i="2"/>
  <c r="B42" i="2"/>
  <c r="B7" i="2"/>
  <c r="B6" i="2"/>
  <c r="B5" i="2"/>
  <c r="B37" i="2"/>
  <c r="B38" i="2"/>
  <c r="B20" i="2"/>
  <c r="B22" i="2"/>
  <c r="B2" i="2"/>
  <c r="B28" i="2"/>
  <c r="B9" i="2"/>
  <c r="B16" i="2"/>
  <c r="B11" i="2"/>
  <c r="B25" i="2"/>
  <c r="B27" i="2"/>
  <c r="B29" i="2"/>
  <c r="B24" i="2"/>
  <c r="B4" i="2"/>
  <c r="B30" i="2"/>
  <c r="B15" i="2"/>
  <c r="B12" i="2"/>
  <c r="B23" i="2"/>
  <c r="B17" i="2"/>
  <c r="B26" i="2"/>
  <c r="B39" i="2"/>
  <c r="B40" i="2"/>
  <c r="B43" i="2"/>
  <c r="B18" i="2"/>
  <c r="B13" i="2"/>
  <c r="B3" i="2"/>
  <c r="B14" i="2"/>
  <c r="B10" i="2"/>
  <c r="B19" i="2"/>
  <c r="B8" i="2"/>
  <c r="B31" i="2"/>
  <c r="F44" i="2"/>
  <c r="F32" i="2"/>
  <c r="F27" i="1"/>
  <c r="F26" i="1"/>
  <c r="F25" i="1"/>
  <c r="F24" i="1"/>
  <c r="F22" i="1"/>
  <c r="B24" i="1" l="1"/>
  <c r="B44" i="2"/>
  <c r="B32" i="2"/>
  <c r="F19" i="30"/>
  <c r="F12" i="30"/>
  <c r="F15" i="32"/>
  <c r="F8" i="32"/>
  <c r="F28" i="34"/>
  <c r="F19" i="34"/>
  <c r="F17" i="33"/>
  <c r="F8" i="33"/>
  <c r="F18" i="36"/>
  <c r="F20" i="31"/>
  <c r="F21" i="29"/>
  <c r="F38" i="35"/>
  <c r="F26" i="35"/>
  <c r="F20" i="28"/>
  <c r="F5" i="1" s="1"/>
  <c r="F21" i="27"/>
  <c r="F12" i="27"/>
  <c r="F20" i="26"/>
  <c r="F10" i="26"/>
  <c r="F21" i="25"/>
  <c r="F41" i="9"/>
  <c r="F27" i="9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0" i="30"/>
  <c r="B50" i="9"/>
  <c r="B49" i="9"/>
  <c r="B48" i="9"/>
  <c r="B47" i="9"/>
  <c r="B46" i="9"/>
  <c r="B45" i="9"/>
  <c r="B44" i="9"/>
  <c r="B43" i="9"/>
  <c r="B42" i="9"/>
  <c r="B41" i="9" l="1"/>
  <c r="B18" i="36"/>
  <c r="B27" i="9"/>
  <c r="B38" i="35"/>
  <c r="B26" i="35"/>
  <c r="B19" i="30"/>
  <c r="B12" i="30"/>
  <c r="B17" i="33"/>
  <c r="B8" i="33"/>
  <c r="B20" i="31"/>
  <c r="B15" i="32"/>
  <c r="B8" i="32"/>
  <c r="B21" i="29"/>
  <c r="B21" i="27"/>
  <c r="B12" i="27"/>
  <c r="B28" i="34"/>
  <c r="B19" i="34"/>
  <c r="B20" i="26"/>
  <c r="B10" i="26"/>
  <c r="F6" i="1"/>
  <c r="F30" i="1"/>
  <c r="F14" i="1"/>
  <c r="F2" i="1"/>
  <c r="F7" i="1"/>
  <c r="F23" i="1"/>
  <c r="F8" i="1"/>
  <c r="F20" i="1"/>
  <c r="F9" i="1"/>
  <c r="F32" i="1"/>
  <c r="F4" i="1"/>
  <c r="F12" i="1"/>
  <c r="F21" i="1"/>
  <c r="F15" i="1"/>
  <c r="F29" i="1"/>
  <c r="F31" i="1"/>
  <c r="F13" i="1"/>
  <c r="F3" i="1"/>
  <c r="G19" i="30"/>
  <c r="G12" i="30"/>
  <c r="H12" i="30"/>
  <c r="G41" i="9"/>
  <c r="G27" i="9"/>
  <c r="H26" i="9"/>
  <c r="B9" i="1" l="1"/>
  <c r="B23" i="1"/>
  <c r="B6" i="1"/>
  <c r="B32" i="1"/>
  <c r="B15" i="1"/>
  <c r="B29" i="1"/>
  <c r="B12" i="1"/>
  <c r="B8" i="1"/>
  <c r="B31" i="1"/>
  <c r="B14" i="1"/>
  <c r="B7" i="1"/>
  <c r="B21" i="1"/>
  <c r="B4" i="1"/>
  <c r="B30" i="1"/>
  <c r="B13" i="1"/>
  <c r="B20" i="1"/>
  <c r="B3" i="1"/>
  <c r="F33" i="1"/>
  <c r="F16" i="1"/>
  <c r="G8" i="32"/>
  <c r="G15" i="32"/>
  <c r="G21" i="29"/>
  <c r="B33" i="1" l="1"/>
  <c r="B16" i="1"/>
  <c r="G28" i="34"/>
  <c r="G19" i="34"/>
  <c r="G17" i="33" l="1"/>
  <c r="G8" i="33"/>
  <c r="G18" i="36"/>
  <c r="G20" i="31" l="1"/>
  <c r="G38" i="35" l="1"/>
  <c r="G26" i="35"/>
  <c r="G20" i="28" l="1"/>
  <c r="G21" i="27"/>
  <c r="G12" i="27"/>
  <c r="G43" i="2" l="1"/>
  <c r="G42" i="2"/>
  <c r="G41" i="2"/>
  <c r="G40" i="2"/>
  <c r="G39" i="2"/>
  <c r="G38" i="2"/>
  <c r="G37" i="2"/>
  <c r="G36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0" i="26"/>
  <c r="G10" i="26"/>
  <c r="G44" i="2" l="1"/>
  <c r="G32" i="2"/>
  <c r="G32" i="1"/>
  <c r="G31" i="1"/>
  <c r="G30" i="1"/>
  <c r="G29" i="1"/>
  <c r="G27" i="1"/>
  <c r="G26" i="1"/>
  <c r="G25" i="1"/>
  <c r="G24" i="1"/>
  <c r="G23" i="1"/>
  <c r="G22" i="1"/>
  <c r="G21" i="1"/>
  <c r="G20" i="1"/>
  <c r="G15" i="1"/>
  <c r="G14" i="1"/>
  <c r="G13" i="1"/>
  <c r="G12" i="1"/>
  <c r="G9" i="1"/>
  <c r="G8" i="1"/>
  <c r="G7" i="1"/>
  <c r="G6" i="1"/>
  <c r="G5" i="1"/>
  <c r="G4" i="1"/>
  <c r="G3" i="1"/>
  <c r="G21" i="25"/>
  <c r="G2" i="1" l="1"/>
  <c r="G33" i="1"/>
  <c r="G16" i="1"/>
  <c r="H15" i="1"/>
  <c r="I12" i="30"/>
  <c r="I15" i="1" s="1"/>
  <c r="H19" i="30"/>
  <c r="H28" i="34"/>
  <c r="H19" i="34"/>
  <c r="H17" i="33"/>
  <c r="H29" i="1" s="1"/>
  <c r="H8" i="33"/>
  <c r="H18" i="36"/>
  <c r="H15" i="32"/>
  <c r="H8" i="32"/>
  <c r="H21" i="29"/>
  <c r="H38" i="35"/>
  <c r="I37" i="35"/>
  <c r="H26" i="35"/>
  <c r="H20" i="28"/>
  <c r="H12" i="27"/>
  <c r="H21" i="27"/>
  <c r="H43" i="2"/>
  <c r="H42" i="2"/>
  <c r="H41" i="2"/>
  <c r="H40" i="2"/>
  <c r="H39" i="2"/>
  <c r="H38" i="2"/>
  <c r="H37" i="2"/>
  <c r="H36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1"/>
  <c r="H26" i="1"/>
  <c r="H25" i="1"/>
  <c r="H24" i="1"/>
  <c r="H23" i="1"/>
  <c r="H22" i="1"/>
  <c r="H13" i="1"/>
  <c r="H12" i="1"/>
  <c r="H9" i="1"/>
  <c r="H4" i="1"/>
  <c r="H10" i="26"/>
  <c r="H20" i="26"/>
  <c r="H21" i="25"/>
  <c r="I26" i="9"/>
  <c r="I27" i="9" s="1"/>
  <c r="H41" i="9"/>
  <c r="I18" i="36"/>
  <c r="I9" i="1" s="1"/>
  <c r="I21" i="25"/>
  <c r="I2" i="1" s="1"/>
  <c r="I15" i="32"/>
  <c r="I31" i="1" s="1"/>
  <c r="I8" i="32"/>
  <c r="I14" i="1" s="1"/>
  <c r="I21" i="29"/>
  <c r="I19" i="34"/>
  <c r="I28" i="34"/>
  <c r="I30" i="1" s="1"/>
  <c r="I41" i="9"/>
  <c r="I17" i="33"/>
  <c r="I8" i="33"/>
  <c r="I20" i="26"/>
  <c r="I20" i="1" s="1"/>
  <c r="I10" i="26"/>
  <c r="I3" i="1" s="1"/>
  <c r="I19" i="31"/>
  <c r="I31" i="2" s="1"/>
  <c r="I29" i="31"/>
  <c r="I21" i="27"/>
  <c r="I21" i="1" s="1"/>
  <c r="I12" i="27"/>
  <c r="I4" i="1" s="1"/>
  <c r="I26" i="35"/>
  <c r="I43" i="2"/>
  <c r="I42" i="2"/>
  <c r="I41" i="2"/>
  <c r="I40" i="2"/>
  <c r="I39" i="2"/>
  <c r="I38" i="2"/>
  <c r="I37" i="2"/>
  <c r="I36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7" i="1"/>
  <c r="I26" i="1"/>
  <c r="I25" i="1"/>
  <c r="I24" i="1"/>
  <c r="I22" i="1"/>
  <c r="I13" i="1"/>
  <c r="I7" i="1"/>
  <c r="I5" i="1"/>
  <c r="I19" i="30"/>
  <c r="J19" i="30"/>
  <c r="J32" i="1" s="1"/>
  <c r="J12" i="30"/>
  <c r="J15" i="1" s="1"/>
  <c r="J27" i="28"/>
  <c r="J22" i="1" s="1"/>
  <c r="J20" i="28"/>
  <c r="J5" i="1" s="1"/>
  <c r="J43" i="2"/>
  <c r="J42" i="2"/>
  <c r="J41" i="2"/>
  <c r="J40" i="2"/>
  <c r="J39" i="2"/>
  <c r="J38" i="2"/>
  <c r="J37" i="2"/>
  <c r="J36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7" i="1"/>
  <c r="J26" i="1"/>
  <c r="J25" i="1"/>
  <c r="K26" i="9"/>
  <c r="K27" i="9" s="1"/>
  <c r="J26" i="9"/>
  <c r="J27" i="9" s="1"/>
  <c r="J17" i="33"/>
  <c r="J29" i="1" s="1"/>
  <c r="J8" i="33"/>
  <c r="J12" i="1" s="1"/>
  <c r="J21" i="27"/>
  <c r="J21" i="1" s="1"/>
  <c r="J12" i="27"/>
  <c r="J41" i="9"/>
  <c r="J28" i="34"/>
  <c r="J30" i="1" s="1"/>
  <c r="J19" i="34"/>
  <c r="J13" i="1" s="1"/>
  <c r="J21" i="25"/>
  <c r="J2" i="1"/>
  <c r="J20" i="26"/>
  <c r="J10" i="26"/>
  <c r="J3" i="1" s="1"/>
  <c r="J19" i="31"/>
  <c r="J8" i="32"/>
  <c r="J14" i="1" s="1"/>
  <c r="J15" i="32"/>
  <c r="J38" i="35"/>
  <c r="J23" i="1" s="1"/>
  <c r="J26" i="35"/>
  <c r="J6" i="1" s="1"/>
  <c r="J26" i="29"/>
  <c r="J24" i="1" s="1"/>
  <c r="J21" i="29"/>
  <c r="J7" i="1"/>
  <c r="J18" i="36"/>
  <c r="J9" i="1" s="1"/>
  <c r="K42" i="2"/>
  <c r="K27" i="1"/>
  <c r="K25" i="2"/>
  <c r="K18" i="36"/>
  <c r="K9" i="1" s="1"/>
  <c r="K38" i="35"/>
  <c r="K26" i="35"/>
  <c r="K6" i="1" s="1"/>
  <c r="K23" i="2"/>
  <c r="K20" i="31"/>
  <c r="K8" i="1" s="1"/>
  <c r="K21" i="25"/>
  <c r="K2" i="1" s="1"/>
  <c r="K15" i="32"/>
  <c r="K31" i="1" s="1"/>
  <c r="K8" i="32"/>
  <c r="K14" i="1" s="1"/>
  <c r="K19" i="30"/>
  <c r="K32" i="1" s="1"/>
  <c r="K12" i="30"/>
  <c r="K15" i="1" s="1"/>
  <c r="K21" i="27"/>
  <c r="K21" i="1" s="1"/>
  <c r="K12" i="27"/>
  <c r="K4" i="1" s="1"/>
  <c r="K26" i="29"/>
  <c r="K24" i="1" s="1"/>
  <c r="K21" i="29"/>
  <c r="K7" i="1" s="1"/>
  <c r="K20" i="26"/>
  <c r="K20" i="1" s="1"/>
  <c r="K10" i="26"/>
  <c r="K3" i="1" s="1"/>
  <c r="K17" i="33"/>
  <c r="K29" i="1" s="1"/>
  <c r="K8" i="33"/>
  <c r="K27" i="28"/>
  <c r="K22" i="1" s="1"/>
  <c r="K20" i="28"/>
  <c r="K5" i="1" s="1"/>
  <c r="K18" i="34"/>
  <c r="K19" i="34" s="1"/>
  <c r="K13" i="1" s="1"/>
  <c r="K28" i="34"/>
  <c r="K30" i="1" s="1"/>
  <c r="K43" i="2"/>
  <c r="K41" i="2"/>
  <c r="K40" i="2"/>
  <c r="K39" i="2"/>
  <c r="K38" i="2"/>
  <c r="K37" i="2"/>
  <c r="K36" i="2"/>
  <c r="K30" i="2"/>
  <c r="K29" i="2"/>
  <c r="K28" i="2"/>
  <c r="K27" i="2"/>
  <c r="K26" i="2"/>
  <c r="K24" i="2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8" i="2"/>
  <c r="K7" i="2"/>
  <c r="K6" i="2"/>
  <c r="K5" i="2"/>
  <c r="K3" i="2"/>
  <c r="K2" i="2"/>
  <c r="K26" i="1"/>
  <c r="K25" i="1"/>
  <c r="K41" i="9"/>
  <c r="U30" i="2"/>
  <c r="S30" i="2"/>
  <c r="R30" i="2"/>
  <c r="Q30" i="2"/>
  <c r="P30" i="2"/>
  <c r="O30" i="2"/>
  <c r="N30" i="2"/>
  <c r="M30" i="2"/>
  <c r="L30" i="2"/>
  <c r="L31" i="2"/>
  <c r="U31" i="2"/>
  <c r="T31" i="2"/>
  <c r="S31" i="2"/>
  <c r="R31" i="2"/>
  <c r="Q31" i="2"/>
  <c r="P31" i="2"/>
  <c r="O31" i="2"/>
  <c r="N31" i="2"/>
  <c r="M31" i="2"/>
  <c r="M12" i="27"/>
  <c r="M4" i="1" s="1"/>
  <c r="M4" i="2"/>
  <c r="L4" i="2"/>
  <c r="M20" i="31"/>
  <c r="M8" i="1" s="1"/>
  <c r="M18" i="36"/>
  <c r="M9" i="1"/>
  <c r="M8" i="33"/>
  <c r="M12" i="1" s="1"/>
  <c r="M15" i="32"/>
  <c r="M31" i="1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M8" i="32"/>
  <c r="M14" i="1" s="1"/>
  <c r="L43" i="2"/>
  <c r="L41" i="2"/>
  <c r="L38" i="2"/>
  <c r="L37" i="2"/>
  <c r="L36" i="2"/>
  <c r="L28" i="2"/>
  <c r="L26" i="2"/>
  <c r="L25" i="2"/>
  <c r="L24" i="2"/>
  <c r="L22" i="2"/>
  <c r="L20" i="2"/>
  <c r="L19" i="2"/>
  <c r="L17" i="2"/>
  <c r="L16" i="2"/>
  <c r="L15" i="2"/>
  <c r="L12" i="2"/>
  <c r="L11" i="2"/>
  <c r="L9" i="2"/>
  <c r="L8" i="2"/>
  <c r="L6" i="2"/>
  <c r="L5" i="2"/>
  <c r="L2" i="2"/>
  <c r="L19" i="30"/>
  <c r="L32" i="1" s="1"/>
  <c r="L15" i="32"/>
  <c r="L31" i="1" s="1"/>
  <c r="L30" i="1"/>
  <c r="L17" i="33"/>
  <c r="L29" i="1" s="1"/>
  <c r="L26" i="1"/>
  <c r="L29" i="31"/>
  <c r="L25" i="1" s="1"/>
  <c r="L24" i="1"/>
  <c r="L38" i="35"/>
  <c r="L23" i="1" s="1"/>
  <c r="L22" i="1"/>
  <c r="L21" i="27"/>
  <c r="L21" i="1" s="1"/>
  <c r="L20" i="26"/>
  <c r="L20" i="1" s="1"/>
  <c r="L12" i="30"/>
  <c r="L15" i="1" s="1"/>
  <c r="L21" i="25"/>
  <c r="L2" i="1" s="1"/>
  <c r="L10" i="26"/>
  <c r="L3" i="1" s="1"/>
  <c r="L12" i="27"/>
  <c r="L4" i="1" s="1"/>
  <c r="L5" i="1"/>
  <c r="L26" i="35"/>
  <c r="L6" i="1" s="1"/>
  <c r="L21" i="29"/>
  <c r="L7" i="1" s="1"/>
  <c r="L20" i="31"/>
  <c r="L8" i="1" s="1"/>
  <c r="L9" i="1"/>
  <c r="L8" i="33"/>
  <c r="L12" i="1" s="1"/>
  <c r="L19" i="34"/>
  <c r="L13" i="1" s="1"/>
  <c r="L8" i="32"/>
  <c r="L14" i="1" s="1"/>
  <c r="N15" i="32"/>
  <c r="N31" i="1" s="1"/>
  <c r="O15" i="32"/>
  <c r="O31" i="1" s="1"/>
  <c r="O8" i="32"/>
  <c r="O14" i="1" s="1"/>
  <c r="N8" i="32"/>
  <c r="N14" i="1" s="1"/>
  <c r="M17" i="33"/>
  <c r="M29" i="1" s="1"/>
  <c r="N29" i="31"/>
  <c r="N25" i="1" s="1"/>
  <c r="M21" i="29"/>
  <c r="M7" i="1" s="1"/>
  <c r="M38" i="35"/>
  <c r="M26" i="35"/>
  <c r="M6" i="1" s="1"/>
  <c r="L27" i="9"/>
  <c r="L41" i="9"/>
  <c r="L40" i="2"/>
  <c r="M40" i="2"/>
  <c r="L39" i="2"/>
  <c r="M39" i="2"/>
  <c r="M38" i="2"/>
  <c r="M37" i="2"/>
  <c r="L29" i="2"/>
  <c r="L27" i="2"/>
  <c r="M26" i="2"/>
  <c r="L23" i="2"/>
  <c r="M22" i="2"/>
  <c r="L21" i="2"/>
  <c r="L18" i="2"/>
  <c r="M17" i="2"/>
  <c r="M16" i="2"/>
  <c r="M15" i="2"/>
  <c r="L14" i="2"/>
  <c r="L13" i="2"/>
  <c r="M13" i="2"/>
  <c r="M12" i="2"/>
  <c r="L10" i="2"/>
  <c r="L7" i="2"/>
  <c r="L3" i="2"/>
  <c r="M19" i="34"/>
  <c r="M13" i="1" s="1"/>
  <c r="M20" i="28"/>
  <c r="M5" i="1" s="1"/>
  <c r="M20" i="26"/>
  <c r="M20" i="1" s="1"/>
  <c r="M10" i="26"/>
  <c r="M21" i="25"/>
  <c r="M2" i="1"/>
  <c r="M7" i="2"/>
  <c r="M24" i="1"/>
  <c r="M41" i="9"/>
  <c r="M43" i="2"/>
  <c r="M41" i="2"/>
  <c r="M36" i="2"/>
  <c r="M29" i="2"/>
  <c r="M28" i="2"/>
  <c r="M27" i="2"/>
  <c r="M25" i="2"/>
  <c r="M24" i="2"/>
  <c r="M23" i="2"/>
  <c r="M21" i="2"/>
  <c r="M20" i="2"/>
  <c r="M19" i="2"/>
  <c r="M18" i="2"/>
  <c r="M14" i="2"/>
  <c r="M11" i="2"/>
  <c r="M10" i="2"/>
  <c r="M9" i="2"/>
  <c r="M8" i="2"/>
  <c r="M6" i="2"/>
  <c r="M5" i="2"/>
  <c r="M3" i="2"/>
  <c r="M2" i="2"/>
  <c r="U26" i="28"/>
  <c r="U43" i="2" s="1"/>
  <c r="U42" i="2"/>
  <c r="U41" i="2"/>
  <c r="U40" i="2"/>
  <c r="U38" i="2"/>
  <c r="U37" i="2"/>
  <c r="U36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M32" i="1"/>
  <c r="R28" i="34"/>
  <c r="R30" i="1" s="1"/>
  <c r="M30" i="1"/>
  <c r="S26" i="1"/>
  <c r="R26" i="1"/>
  <c r="Q26" i="1"/>
  <c r="O26" i="1"/>
  <c r="M26" i="1"/>
  <c r="S25" i="1"/>
  <c r="R25" i="1"/>
  <c r="Q25" i="1"/>
  <c r="M25" i="1"/>
  <c r="W24" i="1"/>
  <c r="U26" i="29"/>
  <c r="U24" i="1" s="1"/>
  <c r="S24" i="1"/>
  <c r="O24" i="1"/>
  <c r="W23" i="1"/>
  <c r="V23" i="1"/>
  <c r="U23" i="1"/>
  <c r="T23" i="1"/>
  <c r="S23" i="1"/>
  <c r="R23" i="1"/>
  <c r="Q23" i="1"/>
  <c r="M23" i="1"/>
  <c r="T22" i="1"/>
  <c r="S22" i="1"/>
  <c r="R22" i="1"/>
  <c r="Q22" i="1"/>
  <c r="P22" i="1"/>
  <c r="O22" i="1"/>
  <c r="M22" i="1"/>
  <c r="V21" i="27"/>
  <c r="V21" i="1" s="1"/>
  <c r="S21" i="1"/>
  <c r="R21" i="1"/>
  <c r="Q21" i="1"/>
  <c r="O21" i="1"/>
  <c r="M21" i="1"/>
  <c r="O20" i="26"/>
  <c r="O20" i="1" s="1"/>
  <c r="N24" i="1"/>
  <c r="N22" i="1"/>
  <c r="M15" i="1"/>
  <c r="T12" i="30"/>
  <c r="T15" i="1"/>
  <c r="R12" i="30"/>
  <c r="R15" i="1" s="1"/>
  <c r="T17" i="34"/>
  <c r="T30" i="2" s="1"/>
  <c r="P19" i="34"/>
  <c r="P13" i="1" s="1"/>
  <c r="R18" i="36"/>
  <c r="R9" i="1" s="1"/>
  <c r="U20" i="31"/>
  <c r="U8" i="1" s="1"/>
  <c r="W6" i="1"/>
  <c r="V6" i="1"/>
  <c r="U6" i="1"/>
  <c r="S26" i="35"/>
  <c r="S6" i="1" s="1"/>
  <c r="S5" i="1"/>
  <c r="R5" i="1"/>
  <c r="Q5" i="1"/>
  <c r="P5" i="1"/>
  <c r="O5" i="1"/>
  <c r="R12" i="27"/>
  <c r="R4" i="1" s="1"/>
  <c r="Q4" i="1"/>
  <c r="T10" i="26"/>
  <c r="T3" i="1" s="1"/>
  <c r="O21" i="25"/>
  <c r="O2" i="1" s="1"/>
  <c r="N12" i="30"/>
  <c r="N15" i="1" s="1"/>
  <c r="O12" i="30"/>
  <c r="O15" i="1" s="1"/>
  <c r="P12" i="30"/>
  <c r="P15" i="1" s="1"/>
  <c r="Q12" i="30"/>
  <c r="Q15" i="1"/>
  <c r="S12" i="30"/>
  <c r="S15" i="1" s="1"/>
  <c r="U12" i="30"/>
  <c r="U15" i="1" s="1"/>
  <c r="V12" i="30"/>
  <c r="V15" i="1" s="1"/>
  <c r="W12" i="30"/>
  <c r="W15" i="1" s="1"/>
  <c r="N19" i="30"/>
  <c r="N32" i="1" s="1"/>
  <c r="O19" i="30"/>
  <c r="O32" i="1" s="1"/>
  <c r="P19" i="30"/>
  <c r="P32" i="1" s="1"/>
  <c r="Q19" i="30"/>
  <c r="Q32" i="1" s="1"/>
  <c r="R19" i="30"/>
  <c r="R32" i="1" s="1"/>
  <c r="S19" i="30"/>
  <c r="S32" i="1" s="1"/>
  <c r="T19" i="30"/>
  <c r="T32" i="1" s="1"/>
  <c r="U19" i="30"/>
  <c r="U32" i="1" s="1"/>
  <c r="V19" i="30"/>
  <c r="V32" i="1" s="1"/>
  <c r="W19" i="30"/>
  <c r="W32" i="1" s="1"/>
  <c r="O10" i="26"/>
  <c r="O3" i="1" s="1"/>
  <c r="O12" i="27"/>
  <c r="O4" i="1" s="1"/>
  <c r="O26" i="35"/>
  <c r="O6" i="1"/>
  <c r="O21" i="29"/>
  <c r="O7" i="1" s="1"/>
  <c r="O20" i="31"/>
  <c r="O8" i="1" s="1"/>
  <c r="O18" i="36"/>
  <c r="O9" i="1" s="1"/>
  <c r="O8" i="33"/>
  <c r="O12" i="1" s="1"/>
  <c r="O19" i="34"/>
  <c r="O13" i="1" s="1"/>
  <c r="P8" i="32"/>
  <c r="P14" i="1" s="1"/>
  <c r="P21" i="25"/>
  <c r="P2" i="1" s="1"/>
  <c r="P10" i="26"/>
  <c r="P3" i="1" s="1"/>
  <c r="P12" i="27"/>
  <c r="P4" i="1" s="1"/>
  <c r="P26" i="35"/>
  <c r="P6" i="1" s="1"/>
  <c r="P21" i="29"/>
  <c r="P7" i="1" s="1"/>
  <c r="P20" i="31"/>
  <c r="P8" i="1" s="1"/>
  <c r="P18" i="36"/>
  <c r="P9" i="1" s="1"/>
  <c r="P8" i="33"/>
  <c r="P12" i="1" s="1"/>
  <c r="Q8" i="32"/>
  <c r="Q14" i="1" s="1"/>
  <c r="R8" i="32"/>
  <c r="R14" i="1" s="1"/>
  <c r="R21" i="25"/>
  <c r="R2" i="1" s="1"/>
  <c r="R10" i="26"/>
  <c r="R3" i="1" s="1"/>
  <c r="R26" i="35"/>
  <c r="R6" i="1" s="1"/>
  <c r="R21" i="29"/>
  <c r="R7" i="1" s="1"/>
  <c r="R20" i="31"/>
  <c r="R8" i="1" s="1"/>
  <c r="R8" i="33"/>
  <c r="R12" i="1" s="1"/>
  <c r="R19" i="34"/>
  <c r="R13" i="1"/>
  <c r="S8" i="32"/>
  <c r="S14" i="1" s="1"/>
  <c r="T8" i="32"/>
  <c r="T14" i="1" s="1"/>
  <c r="U8" i="32"/>
  <c r="U14" i="1" s="1"/>
  <c r="V8" i="32"/>
  <c r="V14" i="1" s="1"/>
  <c r="V21" i="25"/>
  <c r="V2" i="1" s="1"/>
  <c r="V10" i="26"/>
  <c r="V3" i="1" s="1"/>
  <c r="V12" i="27"/>
  <c r="V4" i="1" s="1"/>
  <c r="V20" i="28"/>
  <c r="V5" i="1" s="1"/>
  <c r="V21" i="29"/>
  <c r="V7" i="1" s="1"/>
  <c r="V20" i="31"/>
  <c r="V8" i="1" s="1"/>
  <c r="V18" i="36"/>
  <c r="V9" i="1" s="1"/>
  <c r="V8" i="33"/>
  <c r="V12" i="1" s="1"/>
  <c r="V19" i="34"/>
  <c r="V13" i="1" s="1"/>
  <c r="W8" i="32"/>
  <c r="W14" i="1" s="1"/>
  <c r="N20" i="26"/>
  <c r="N20" i="1" s="1"/>
  <c r="N21" i="27"/>
  <c r="N21" i="1" s="1"/>
  <c r="N38" i="35"/>
  <c r="N23" i="1" s="1"/>
  <c r="N25" i="36"/>
  <c r="N26" i="1" s="1"/>
  <c r="N17" i="33"/>
  <c r="N29" i="1" s="1"/>
  <c r="N28" i="34"/>
  <c r="N30" i="1" s="1"/>
  <c r="O38" i="35"/>
  <c r="O23" i="1"/>
  <c r="O29" i="31"/>
  <c r="O25" i="1" s="1"/>
  <c r="O17" i="33"/>
  <c r="O29" i="1" s="1"/>
  <c r="O28" i="34"/>
  <c r="O30" i="1" s="1"/>
  <c r="P15" i="32"/>
  <c r="P31" i="1" s="1"/>
  <c r="Q15" i="32"/>
  <c r="Q31" i="1" s="1"/>
  <c r="Q20" i="26"/>
  <c r="Q20" i="1" s="1"/>
  <c r="Q26" i="29"/>
  <c r="Q24" i="1" s="1"/>
  <c r="Q17" i="33"/>
  <c r="Q29" i="1" s="1"/>
  <c r="Q28" i="34"/>
  <c r="Q30" i="1" s="1"/>
  <c r="R15" i="32"/>
  <c r="R31" i="1" s="1"/>
  <c r="S15" i="32"/>
  <c r="S31" i="1" s="1"/>
  <c r="S20" i="26"/>
  <c r="S20" i="1" s="1"/>
  <c r="S17" i="33"/>
  <c r="S29" i="1" s="1"/>
  <c r="S28" i="34"/>
  <c r="S43" i="2" s="1"/>
  <c r="T15" i="32"/>
  <c r="T31" i="1" s="1"/>
  <c r="U15" i="32"/>
  <c r="U31" i="1" s="1"/>
  <c r="U20" i="26"/>
  <c r="U20" i="1" s="1"/>
  <c r="U21" i="27"/>
  <c r="U21" i="1" s="1"/>
  <c r="U24" i="28"/>
  <c r="U27" i="28" s="1"/>
  <c r="U22" i="1" s="1"/>
  <c r="U29" i="31"/>
  <c r="U25" i="1" s="1"/>
  <c r="U25" i="36"/>
  <c r="U26" i="1" s="1"/>
  <c r="U17" i="33"/>
  <c r="U29" i="1" s="1"/>
  <c r="U28" i="34"/>
  <c r="U30" i="1" s="1"/>
  <c r="V15" i="32"/>
  <c r="V31" i="1" s="1"/>
  <c r="W15" i="32"/>
  <c r="W31" i="1" s="1"/>
  <c r="W20" i="26"/>
  <c r="W20" i="1" s="1"/>
  <c r="W21" i="27"/>
  <c r="W21" i="1" s="1"/>
  <c r="W24" i="28"/>
  <c r="W26" i="28"/>
  <c r="W27" i="28" s="1"/>
  <c r="W22" i="1" s="1"/>
  <c r="W29" i="31"/>
  <c r="W25" i="1" s="1"/>
  <c r="W25" i="36"/>
  <c r="W26" i="1" s="1"/>
  <c r="W17" i="33"/>
  <c r="W29" i="1" s="1"/>
  <c r="W28" i="34"/>
  <c r="W30" i="1" s="1"/>
  <c r="N19" i="34"/>
  <c r="N13" i="1" s="1"/>
  <c r="Q19" i="34"/>
  <c r="Q13" i="1" s="1"/>
  <c r="S19" i="34"/>
  <c r="S13" i="1" s="1"/>
  <c r="U19" i="34"/>
  <c r="U13" i="1" s="1"/>
  <c r="W19" i="34"/>
  <c r="W13" i="1" s="1"/>
  <c r="P28" i="34"/>
  <c r="P30" i="1" s="1"/>
  <c r="T28" i="34"/>
  <c r="T30" i="1" s="1"/>
  <c r="V28" i="34"/>
  <c r="V30" i="1" s="1"/>
  <c r="N8" i="33"/>
  <c r="N12" i="1" s="1"/>
  <c r="Q8" i="33"/>
  <c r="Q12" i="1" s="1"/>
  <c r="S8" i="33"/>
  <c r="S12" i="1"/>
  <c r="T8" i="33"/>
  <c r="T12" i="1" s="1"/>
  <c r="U8" i="33"/>
  <c r="U12" i="1" s="1"/>
  <c r="W8" i="33"/>
  <c r="W12" i="1" s="1"/>
  <c r="P17" i="33"/>
  <c r="P29" i="1" s="1"/>
  <c r="R17" i="33"/>
  <c r="R29" i="1" s="1"/>
  <c r="T17" i="33"/>
  <c r="T29" i="1" s="1"/>
  <c r="V17" i="33"/>
  <c r="V29" i="1" s="1"/>
  <c r="N18" i="36"/>
  <c r="N9" i="1" s="1"/>
  <c r="Q18" i="36"/>
  <c r="Q9" i="1" s="1"/>
  <c r="S18" i="36"/>
  <c r="S9" i="1" s="1"/>
  <c r="T18" i="36"/>
  <c r="T9" i="1" s="1"/>
  <c r="U18" i="36"/>
  <c r="U9" i="1" s="1"/>
  <c r="W18" i="36"/>
  <c r="W9" i="1" s="1"/>
  <c r="P25" i="36"/>
  <c r="P26" i="1" s="1"/>
  <c r="T25" i="36"/>
  <c r="T26" i="1" s="1"/>
  <c r="V25" i="36"/>
  <c r="V26" i="1" s="1"/>
  <c r="N20" i="31"/>
  <c r="N8" i="1" s="1"/>
  <c r="Q20" i="31"/>
  <c r="Q8" i="1" s="1"/>
  <c r="S20" i="31"/>
  <c r="S8" i="1"/>
  <c r="T20" i="31"/>
  <c r="T8" i="1" s="1"/>
  <c r="W20" i="31"/>
  <c r="W8" i="1" s="1"/>
  <c r="P29" i="31"/>
  <c r="P25" i="1" s="1"/>
  <c r="T29" i="31"/>
  <c r="T25" i="1" s="1"/>
  <c r="V29" i="31"/>
  <c r="V25" i="1" s="1"/>
  <c r="N21" i="29"/>
  <c r="N7" i="1" s="1"/>
  <c r="Q21" i="29"/>
  <c r="Q7" i="1" s="1"/>
  <c r="S21" i="29"/>
  <c r="S7" i="1" s="1"/>
  <c r="T21" i="29"/>
  <c r="T7" i="1" s="1"/>
  <c r="U21" i="29"/>
  <c r="U7" i="1" s="1"/>
  <c r="W21" i="29"/>
  <c r="W7" i="1" s="1"/>
  <c r="P26" i="29"/>
  <c r="P24" i="1" s="1"/>
  <c r="R26" i="29"/>
  <c r="R24" i="1" s="1"/>
  <c r="T26" i="29"/>
  <c r="T24" i="1" s="1"/>
  <c r="V26" i="29"/>
  <c r="V24" i="1" s="1"/>
  <c r="N26" i="35"/>
  <c r="N6" i="1" s="1"/>
  <c r="Q26" i="35"/>
  <c r="Q6" i="1" s="1"/>
  <c r="T26" i="35"/>
  <c r="T6" i="1" s="1"/>
  <c r="P38" i="35"/>
  <c r="P23" i="1" s="1"/>
  <c r="P20" i="26"/>
  <c r="P20" i="1" s="1"/>
  <c r="P21" i="27"/>
  <c r="P21" i="1" s="1"/>
  <c r="N20" i="28"/>
  <c r="N5" i="1" s="1"/>
  <c r="T20" i="28"/>
  <c r="T5" i="1" s="1"/>
  <c r="U20" i="28"/>
  <c r="U5" i="1" s="1"/>
  <c r="W20" i="28"/>
  <c r="W5" i="1" s="1"/>
  <c r="V24" i="28"/>
  <c r="V27" i="28" s="1"/>
  <c r="V22" i="1" s="1"/>
  <c r="N12" i="27"/>
  <c r="N4" i="1" s="1"/>
  <c r="S12" i="27"/>
  <c r="S4" i="1" s="1"/>
  <c r="S21" i="25"/>
  <c r="S2" i="1" s="1"/>
  <c r="S10" i="26"/>
  <c r="S3" i="1" s="1"/>
  <c r="T12" i="27"/>
  <c r="T4" i="1" s="1"/>
  <c r="T21" i="25"/>
  <c r="T2" i="1" s="1"/>
  <c r="U12" i="27"/>
  <c r="U4" i="1" s="1"/>
  <c r="W12" i="27"/>
  <c r="W4" i="1" s="1"/>
  <c r="W21" i="25"/>
  <c r="W2" i="1" s="1"/>
  <c r="W10" i="26"/>
  <c r="W3" i="1" s="1"/>
  <c r="T21" i="27"/>
  <c r="T21" i="1" s="1"/>
  <c r="N10" i="26"/>
  <c r="N3" i="1" s="1"/>
  <c r="Q10" i="26"/>
  <c r="Q3" i="1" s="1"/>
  <c r="U10" i="26"/>
  <c r="U3" i="1" s="1"/>
  <c r="R20" i="26"/>
  <c r="R20" i="1" s="1"/>
  <c r="T20" i="26"/>
  <c r="T20" i="1" s="1"/>
  <c r="V20" i="26"/>
  <c r="V20" i="1" s="1"/>
  <c r="N21" i="25"/>
  <c r="N2" i="1" s="1"/>
  <c r="Q21" i="25"/>
  <c r="Q2" i="1" s="1"/>
  <c r="U21" i="25"/>
  <c r="U2" i="1" s="1"/>
  <c r="W41" i="9"/>
  <c r="V41" i="9"/>
  <c r="U41" i="9"/>
  <c r="T41" i="9"/>
  <c r="S41" i="9"/>
  <c r="R41" i="9"/>
  <c r="Q41" i="9"/>
  <c r="P41" i="9"/>
  <c r="O41" i="9"/>
  <c r="W27" i="9"/>
  <c r="V27" i="9"/>
  <c r="U27" i="9"/>
  <c r="T27" i="9"/>
  <c r="S27" i="9"/>
  <c r="R27" i="9"/>
  <c r="Q27" i="9"/>
  <c r="P27" i="9"/>
  <c r="O27" i="9"/>
  <c r="N27" i="9"/>
  <c r="N41" i="9"/>
  <c r="R43" i="2"/>
  <c r="Q43" i="2"/>
  <c r="P43" i="2"/>
  <c r="O43" i="2"/>
  <c r="N43" i="2"/>
  <c r="R41" i="2"/>
  <c r="Q41" i="2"/>
  <c r="Q36" i="2"/>
  <c r="Q37" i="2"/>
  <c r="Q38" i="2"/>
  <c r="Q39" i="2"/>
  <c r="Q40" i="2"/>
  <c r="P41" i="2"/>
  <c r="O41" i="2"/>
  <c r="N41" i="2"/>
  <c r="R40" i="2"/>
  <c r="P40" i="2"/>
  <c r="O40" i="2"/>
  <c r="N40" i="2"/>
  <c r="R39" i="2"/>
  <c r="R36" i="2"/>
  <c r="R37" i="2"/>
  <c r="R38" i="2"/>
  <c r="P39" i="2"/>
  <c r="P36" i="2"/>
  <c r="P37" i="2"/>
  <c r="P38" i="2"/>
  <c r="O39" i="2"/>
  <c r="N39" i="2"/>
  <c r="O38" i="2"/>
  <c r="N38" i="2"/>
  <c r="O37" i="2"/>
  <c r="N37" i="2"/>
  <c r="O36" i="2"/>
  <c r="N36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2" i="2"/>
  <c r="P3" i="2"/>
  <c r="P4" i="2"/>
  <c r="P5" i="2"/>
  <c r="P6" i="2"/>
  <c r="P7" i="2"/>
  <c r="P8" i="2"/>
  <c r="P9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2" i="2"/>
  <c r="S3" i="2"/>
  <c r="S4" i="2"/>
  <c r="S5" i="2"/>
  <c r="S6" i="2"/>
  <c r="S7" i="2"/>
  <c r="S8" i="2"/>
  <c r="S9" i="2"/>
  <c r="S10" i="2"/>
  <c r="S11" i="2"/>
  <c r="T40" i="2"/>
  <c r="T26" i="2"/>
  <c r="T24" i="2"/>
  <c r="T18" i="2"/>
  <c r="T17" i="2"/>
  <c r="T15" i="2"/>
  <c r="T14" i="2"/>
  <c r="T12" i="2"/>
  <c r="T11" i="2"/>
  <c r="T10" i="2"/>
  <c r="T2" i="2"/>
  <c r="T3" i="2"/>
  <c r="T4" i="2"/>
  <c r="T5" i="2"/>
  <c r="T6" i="2"/>
  <c r="T7" i="2"/>
  <c r="T8" i="2"/>
  <c r="T9" i="2"/>
  <c r="T13" i="2"/>
  <c r="T16" i="2"/>
  <c r="T19" i="2"/>
  <c r="T20" i="2"/>
  <c r="T21" i="2"/>
  <c r="T22" i="2"/>
  <c r="T23" i="2"/>
  <c r="T25" i="2"/>
  <c r="T27" i="2"/>
  <c r="T28" i="2"/>
  <c r="T29" i="2"/>
  <c r="T42" i="2"/>
  <c r="T41" i="2"/>
  <c r="T38" i="2"/>
  <c r="T37" i="2"/>
  <c r="T36" i="2"/>
  <c r="S42" i="2"/>
  <c r="S41" i="2"/>
  <c r="S36" i="2"/>
  <c r="S37" i="2"/>
  <c r="S38" i="2"/>
  <c r="S39" i="2"/>
  <c r="S40" i="2"/>
  <c r="T43" i="2"/>
  <c r="T39" i="2"/>
  <c r="M3" i="1"/>
  <c r="K12" i="2"/>
  <c r="K4" i="2"/>
  <c r="K23" i="1"/>
  <c r="K12" i="1"/>
  <c r="J20" i="31"/>
  <c r="J8" i="1" s="1"/>
  <c r="J4" i="1"/>
  <c r="J20" i="1"/>
  <c r="J31" i="1"/>
  <c r="J31" i="2"/>
  <c r="I12" i="1"/>
  <c r="I32" i="1" l="1"/>
  <c r="T19" i="34"/>
  <c r="T13" i="1" s="1"/>
  <c r="H32" i="1"/>
  <c r="P44" i="2"/>
  <c r="U39" i="2"/>
  <c r="U44" i="2" s="1"/>
  <c r="N44" i="2"/>
  <c r="T44" i="2"/>
  <c r="I44" i="2"/>
  <c r="U32" i="2"/>
  <c r="P32" i="2"/>
  <c r="T32" i="2"/>
  <c r="W33" i="1"/>
  <c r="N32" i="2"/>
  <c r="Q44" i="2"/>
  <c r="Q16" i="1"/>
  <c r="J32" i="2"/>
  <c r="Q32" i="2"/>
  <c r="M44" i="2"/>
  <c r="S32" i="2"/>
  <c r="J44" i="2"/>
  <c r="H2" i="1"/>
  <c r="H14" i="1"/>
  <c r="H30" i="1"/>
  <c r="H6" i="1"/>
  <c r="H21" i="1"/>
  <c r="H20" i="1"/>
  <c r="H44" i="2"/>
  <c r="K33" i="1"/>
  <c r="R16" i="1"/>
  <c r="J33" i="1"/>
  <c r="W16" i="1"/>
  <c r="P16" i="1"/>
  <c r="M33" i="1"/>
  <c r="M16" i="1"/>
  <c r="Q33" i="1"/>
  <c r="L33" i="1"/>
  <c r="N16" i="1"/>
  <c r="V33" i="1"/>
  <c r="L16" i="1"/>
  <c r="N33" i="1"/>
  <c r="R33" i="1"/>
  <c r="K16" i="1"/>
  <c r="U33" i="1"/>
  <c r="O16" i="1"/>
  <c r="K44" i="2"/>
  <c r="H31" i="1"/>
  <c r="T16" i="1"/>
  <c r="H3" i="1"/>
  <c r="H20" i="31"/>
  <c r="H31" i="2"/>
  <c r="I32" i="2"/>
  <c r="R44" i="2"/>
  <c r="O33" i="1"/>
  <c r="S30" i="1"/>
  <c r="S33" i="1" s="1"/>
  <c r="T33" i="1"/>
  <c r="S16" i="1"/>
  <c r="I20" i="31"/>
  <c r="H7" i="1"/>
  <c r="V16" i="1"/>
  <c r="R32" i="2"/>
  <c r="M32" i="2"/>
  <c r="J16" i="1"/>
  <c r="U16" i="1"/>
  <c r="L32" i="2"/>
  <c r="I29" i="1"/>
  <c r="S44" i="2"/>
  <c r="O44" i="2"/>
  <c r="P33" i="1"/>
  <c r="L44" i="2"/>
  <c r="O32" i="2"/>
  <c r="I6" i="1"/>
  <c r="H5" i="1"/>
  <c r="I38" i="35"/>
  <c r="K31" i="2"/>
  <c r="K32" i="2" s="1"/>
  <c r="H27" i="9"/>
  <c r="H32" i="2" l="1"/>
  <c r="I23" i="1"/>
  <c r="I8" i="1"/>
  <c r="H8" i="1"/>
  <c r="H33" i="1"/>
  <c r="I33" i="1" l="1"/>
  <c r="H16" i="1"/>
  <c r="I16" i="1"/>
</calcChain>
</file>

<file path=xl/sharedStrings.xml><?xml version="1.0" encoding="utf-8"?>
<sst xmlns="http://schemas.openxmlformats.org/spreadsheetml/2006/main" count="528" uniqueCount="181">
  <si>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</si>
  <si>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</si>
  <si>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</si>
  <si>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</si>
  <si>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</si>
  <si>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</si>
  <si>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</si>
  <si>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</si>
  <si>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</si>
  <si>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</si>
  <si>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</si>
  <si>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</si>
  <si>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</si>
  <si>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</si>
  <si>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</si>
  <si>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</si>
  <si>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</si>
  <si>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</si>
  <si>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</si>
  <si>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</si>
  <si>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</si>
  <si>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</si>
  <si>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</si>
  <si>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</si>
  <si>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</si>
  <si>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</si>
  <si>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</si>
  <si>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</si>
  <si>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</si>
  <si>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</si>
  <si>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</si>
  <si>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</si>
  <si>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</si>
  <si>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</si>
  <si>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</si>
  <si>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</si>
  <si>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United Kingdom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</si>
  <si>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</si>
  <si>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</si>
  <si>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</si>
  <si>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</si>
  <si>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</si>
  <si>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</si>
  <si>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</si>
  <si>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</si>
  <si>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</si>
  <si>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</si>
  <si>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</si>
  <si>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</si>
  <si>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</si>
  <si>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</si>
  <si>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</si>
  <si>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</si>
  <si>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</si>
  <si>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</si>
  <si>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</si>
  <si>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</si>
  <si>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</si>
  <si>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</si>
  <si>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</si>
  <si>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</si>
  <si>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</si>
  <si>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</si>
  <si>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</si>
  <si>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</si>
  <si>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</si>
  <si>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</si>
  <si>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</si>
  <si>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</si>
  <si>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</si>
  <si>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</si>
  <si>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</si>
  <si>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</si>
  <si>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</si>
  <si>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</si>
  <si>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</si>
  <si>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</si>
  <si>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</si>
  <si>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</si>
  <si>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</si>
  <si>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</si>
  <si>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</si>
  <si>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</si>
  <si>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</si>
  <si>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</si>
  <si>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</si>
  <si>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</si>
  <si>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</si>
  <si>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</si>
  <si>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</si>
  <si>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</si>
  <si>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</si>
  <si>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</si>
  <si>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</si>
  <si>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</si>
  <si>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</si>
  <si>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</si>
  <si>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</si>
  <si>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</si>
  <si>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</si>
  <si>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</si>
  <si>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</si>
  <si>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</si>
  <si>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</si>
  <si>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</si>
  <si>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</si>
  <si>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</si>
  <si>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</si>
  <si>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</si>
  <si>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</si>
  <si>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</si>
  <si>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</si>
  <si>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</si>
  <si>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</si>
  <si>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</si>
  <si>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</si>
  <si>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</si>
  <si>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</si>
  <si>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</si>
  <si>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</si>
  <si>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</si>
  <si>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</si>
  <si>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</si>
  <si>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</si>
  <si>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</si>
  <si>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</si>
  <si>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</si>
  <si>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</si>
  <si>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</si>
  <si>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</si>
  <si>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</si>
  <si>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</si>
  <si>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</si>
  <si>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</si>
  <si>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</si>
  <si>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</si>
  <si>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</si>
  <si>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</si>
  <si>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</si>
  <si>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</si>
  <si>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</si>
  <si>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</si>
  <si>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</si>
  <si>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</si>
  <si>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</si>
  <si>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JUNE</t>
  </si>
  <si>
    <t>Portugal:</t>
  </si>
  <si>
    <t>ANP - Associação Nacional de Produtores de Pera Rocha</t>
  </si>
  <si>
    <t>Golden Delicius</t>
  </si>
  <si>
    <t>Rocha</t>
  </si>
  <si>
    <t>Portugal</t>
  </si>
  <si>
    <t xml:space="preserve">* Other new varieties: Ariane, Belgica, Cameo, Diwa, Greenstar, Goldrush, Honey Crunch, Jazz, Junami, Kanzi, Mairac, Rubens, Tentation (temptation), Wellant, ... </t>
  </si>
  <si>
    <t>Choupette</t>
  </si>
  <si>
    <t xml:space="preserve"> </t>
  </si>
  <si>
    <t>Evelina</t>
  </si>
  <si>
    <t>Concorde</t>
  </si>
  <si>
    <t>Ligol</t>
  </si>
  <si>
    <t>AFRUCAT</t>
  </si>
  <si>
    <t>Honeycrisp</t>
  </si>
  <si>
    <t>Doyenne du Comice</t>
  </si>
  <si>
    <t>** From 12/2014 Cox's is included in others</t>
  </si>
  <si>
    <t>Cox**</t>
  </si>
  <si>
    <t>Durondeau</t>
  </si>
  <si>
    <t>Lucasova</t>
  </si>
  <si>
    <t>Forelle</t>
  </si>
  <si>
    <t>Cosmic Crisp</t>
  </si>
  <si>
    <t>Slovakia</t>
  </si>
  <si>
    <t>** As of the 2016/ 2017 season, the UK works with a different methodology, which is why the figures are not comparable.</t>
  </si>
  <si>
    <t>*** Starting from the 2022-2023 season, Italian pears work with a different methodology, which is why the figures are not comparable with previous years.</t>
  </si>
  <si>
    <t>Moved 2024</t>
  </si>
  <si>
    <t>United Kingdom**</t>
  </si>
  <si>
    <t>%YOY</t>
  </si>
  <si>
    <t>Moved 2025</t>
  </si>
  <si>
    <t>* Portugal: Rocha stocks are compared per two months, in this case to stocks of 1 January</t>
  </si>
  <si>
    <t>Rubinett</t>
  </si>
  <si>
    <t>Beurre Alexander Lucas**</t>
  </si>
  <si>
    <t>Bohemica</t>
  </si>
  <si>
    <t>Please note that this is just an indication. There might be a difference of  +- 10%</t>
  </si>
  <si>
    <t>A significant part of apples are sold to the industry</t>
  </si>
  <si>
    <t>* Rocha stocks are compared per two months, in this case to stocks of 1 January</t>
  </si>
  <si>
    <t>Overview Northern Hemisphere apple and pear stocks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</si>
</sst>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4" borderId="0" applyNumberFormat="0" applyBorder="0" applyAlignment="0" applyProtection="0"/>
    <xf numFmtId="0" fontId="3" fillId="0" borderId="0"/>
    <xf numFmtId="0" fontId="3" fillId="0" borderId="0"/>
  </cellStyleXfs>
  <cellXfs count="16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1" fillId="8" borderId="5" xfId="0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8" borderId="5" xfId="0" applyNumberFormat="1" applyFont="1" applyFill="1" applyBorder="1"/>
    <xf numFmtId="0" fontId="3" fillId="2" borderId="2" xfId="0" applyFont="1" applyFill="1" applyBorder="1"/>
    <xf numFmtId="0" fontId="11" fillId="0" borderId="0" xfId="0" applyFont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10" fillId="4" borderId="7" xfId="1" applyNumberFormat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0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6" borderId="5" xfId="0" applyNumberFormat="1" applyFont="1" applyFill="1" applyBorder="1"/>
    <xf numFmtId="3" fontId="0" fillId="6" borderId="0" xfId="0" applyNumberFormat="1" applyFill="1"/>
    <xf numFmtId="3" fontId="0" fillId="6" borderId="1" xfId="0" applyNumberFormat="1" applyFill="1" applyBorder="1"/>
    <xf numFmtId="3" fontId="0" fillId="0" borderId="1" xfId="0" quotePrefix="1" applyNumberFormat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14" fontId="1" fillId="0" borderId="5" xfId="0" applyNumberFormat="1" applyFont="1" applyBorder="1"/>
    <xf numFmtId="3" fontId="3" fillId="6" borderId="10" xfId="2" applyNumberFormat="1" applyFill="1" applyBorder="1"/>
    <xf numFmtId="3" fontId="0" fillId="8" borderId="0" xfId="0" applyNumberFormat="1" applyFill="1" applyAlignment="1">
      <alignment horizontal="right"/>
    </xf>
    <xf numFmtId="3" fontId="0" fillId="8" borderId="1" xfId="0" applyNumberFormat="1" applyFill="1" applyBorder="1" applyAlignment="1">
      <alignment horizontal="right"/>
    </xf>
    <xf numFmtId="164" fontId="1" fillId="3" borderId="5" xfId="0" applyNumberFormat="1" applyFont="1" applyFill="1" applyBorder="1"/>
    <xf numFmtId="3" fontId="0" fillId="6" borderId="0" xfId="0" applyNumberFormat="1" applyFill="1" applyAlignment="1">
      <alignment horizontal="right"/>
    </xf>
    <xf numFmtId="14" fontId="1" fillId="0" borderId="5" xfId="2" applyNumberFormat="1" applyFont="1" applyBorder="1"/>
    <xf numFmtId="164" fontId="3" fillId="0" borderId="0" xfId="2" applyNumberFormat="1"/>
    <xf numFmtId="0" fontId="1" fillId="3" borderId="5" xfId="0" applyFont="1" applyFill="1" applyBorder="1"/>
    <xf numFmtId="164" fontId="3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2" fontId="0" fillId="0" borderId="0" xfId="0" applyNumberFormat="1"/>
    <xf numFmtId="164" fontId="0" fillId="3" borderId="0" xfId="0" applyNumberFormat="1" applyFill="1" applyAlignment="1">
      <alignment horizontal="right"/>
    </xf>
    <xf numFmtId="3" fontId="1" fillId="8" borderId="1" xfId="0" applyNumberFormat="1" applyFont="1" applyFill="1" applyBorder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3" fontId="0" fillId="0" borderId="0" xfId="0" quotePrefix="1" applyNumberFormat="1" applyAlignment="1">
      <alignment horizontal="right"/>
    </xf>
    <xf numFmtId="164" fontId="1" fillId="7" borderId="5" xfId="0" applyNumberFormat="1" applyFont="1" applyFill="1" applyBorder="1"/>
    <xf numFmtId="3" fontId="3" fillId="8" borderId="10" xfId="2" applyNumberFormat="1" applyFill="1" applyBorder="1"/>
    <xf numFmtId="3" fontId="3" fillId="8" borderId="0" xfId="2" applyNumberFormat="1" applyFill="1"/>
    <xf numFmtId="164" fontId="3" fillId="7" borderId="0" xfId="2" applyNumberFormat="1" applyFill="1" applyAlignment="1">
      <alignment horizontal="right"/>
    </xf>
    <xf numFmtId="3" fontId="3" fillId="8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3" fontId="3" fillId="6" borderId="0" xfId="2" applyNumberFormat="1" applyFill="1" applyAlignment="1">
      <alignment horizontal="right"/>
    </xf>
    <xf numFmtId="3" fontId="3" fillId="8" borderId="1" xfId="2" applyNumberFormat="1" applyFill="1" applyBorder="1"/>
    <xf numFmtId="3" fontId="1" fillId="8" borderId="1" xfId="2" applyNumberFormat="1" applyFont="1" applyFill="1" applyBorder="1"/>
    <xf numFmtId="164" fontId="3" fillId="3" borderId="0" xfId="2" applyNumberFormat="1" applyFill="1"/>
    <xf numFmtId="3" fontId="3" fillId="9" borderId="0" xfId="2" applyNumberFormat="1" applyFill="1"/>
    <xf numFmtId="164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" fillId="8" borderId="5" xfId="2" applyNumberFormat="1" applyFont="1" applyFill="1" applyBorder="1"/>
    <xf numFmtId="164" fontId="3" fillId="7" borderId="1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7" borderId="1" xfId="2" applyNumberFormat="1" applyFill="1" applyBorder="1" applyAlignment="1">
      <alignment horizontal="right"/>
    </xf>
    <xf numFmtId="164" fontId="3" fillId="8" borderId="0" xfId="0" applyNumberFormat="1" applyFont="1" applyFill="1"/>
    <xf numFmtId="164" fontId="3" fillId="0" borderId="0" xfId="0" applyNumberFormat="1" applyFont="1"/>
    <xf numFmtId="164" fontId="3" fillId="6" borderId="0" xfId="0" applyNumberFormat="1" applyFont="1" applyFill="1"/>
    <xf numFmtId="164" fontId="3" fillId="8" borderId="1" xfId="0" applyNumberFormat="1" applyFont="1" applyFill="1" applyBorder="1"/>
    <xf numFmtId="164" fontId="3" fillId="0" borderId="1" xfId="0" applyNumberFormat="1" applyFont="1" applyBorder="1"/>
    <xf numFmtId="164" fontId="3" fillId="6" borderId="1" xfId="0" applyNumberFormat="1" applyFont="1" applyFill="1" applyBorder="1"/>
    <xf numFmtId="164" fontId="1" fillId="8" borderId="1" xfId="0" applyNumberFormat="1" applyFont="1" applyFill="1" applyBorder="1"/>
    <xf numFmtId="164" fontId="1" fillId="0" borderId="1" xfId="0" applyNumberFormat="1" applyFont="1" applyBorder="1"/>
    <xf numFmtId="164" fontId="1" fillId="6" borderId="1" xfId="0" applyNumberFormat="1" applyFont="1" applyFill="1" applyBorder="1"/>
    <xf numFmtId="3" fontId="0" fillId="8" borderId="5" xfId="0" applyNumberFormat="1" applyFill="1" applyBorder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7" borderId="5" xfId="2" applyNumberFormat="1" applyFont="1" applyFill="1" applyBorder="1" applyAlignment="1">
      <alignment horizontal="right"/>
    </xf>
  </cellXfs>
  <cellStyles count="4">
    <cellStyle name="Bad" xfId="1" builtinId="27"/>
    <cellStyle name="Normal" xfId="0" builtinId="0"/>
    <cellStyle name="Normal 2" xfId="2" xr:uid="{00000000-0005-0000-0000-000002000000}"/>
    <cellStyle name="Normale 5" xfId="3" xr:uid="{00000000-0005-0000-0000-000003000000}"/>
  </cellStyles>
  <dxfs count="35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65" zoomScaleNormal="53" workbookViewId="0"/>
  </sheetViews>
  <sheetFormatPr defaultColWidth="9.109375" defaultRowHeight="13.2" x14ac:dyDescent="0.25"/>
  <cols>
    <col min="3" max="3" width="18.44140625" customWidth="1"/>
  </cols>
  <sheetData>
    <row r="19" spans="2:7" x14ac:dyDescent="0.25">
      <c r="B19" t="s">
        <v>180</v>
      </c>
      <c r="G19" s="8" t="s">
        <v>145</v>
      </c>
    </row>
    <row r="21" spans="2:7" x14ac:dyDescent="0.25">
      <c r="B21" t="s">
        <v>63</v>
      </c>
      <c r="C21" t="s">
        <v>64</v>
      </c>
    </row>
    <row r="22" spans="2:7" x14ac:dyDescent="0.25">
      <c r="C22" t="s">
        <v>65</v>
      </c>
    </row>
    <row r="23" spans="2:7" x14ac:dyDescent="0.25">
      <c r="C23" t="s">
        <v>92</v>
      </c>
    </row>
    <row r="24" spans="2:7" x14ac:dyDescent="0.25">
      <c r="C24" s="3" t="s">
        <v>120</v>
      </c>
    </row>
    <row r="26" spans="2:7" x14ac:dyDescent="0.25">
      <c r="B26" t="s">
        <v>66</v>
      </c>
      <c r="C26" t="s">
        <v>67</v>
      </c>
      <c r="D26" t="s">
        <v>68</v>
      </c>
    </row>
    <row r="27" spans="2:7" x14ac:dyDescent="0.25">
      <c r="C27" t="s">
        <v>69</v>
      </c>
      <c r="D27" t="s">
        <v>70</v>
      </c>
    </row>
    <row r="28" spans="2:7" x14ac:dyDescent="0.25">
      <c r="C28" t="s">
        <v>71</v>
      </c>
      <c r="D28" t="s">
        <v>72</v>
      </c>
    </row>
    <row r="29" spans="2:7" x14ac:dyDescent="0.25">
      <c r="C29" t="s">
        <v>73</v>
      </c>
      <c r="D29" s="3" t="s">
        <v>88</v>
      </c>
    </row>
    <row r="30" spans="2:7" x14ac:dyDescent="0.25">
      <c r="C30" s="3" t="s">
        <v>137</v>
      </c>
      <c r="D30" t="s">
        <v>74</v>
      </c>
    </row>
    <row r="31" spans="2:7" x14ac:dyDescent="0.25">
      <c r="C31" t="s">
        <v>75</v>
      </c>
      <c r="D31" t="s">
        <v>133</v>
      </c>
    </row>
    <row r="32" spans="2:7" x14ac:dyDescent="0.25">
      <c r="C32" t="s">
        <v>76</v>
      </c>
      <c r="D32" t="s">
        <v>132</v>
      </c>
    </row>
    <row r="33" spans="3:4" x14ac:dyDescent="0.25">
      <c r="C33" t="s">
        <v>77</v>
      </c>
      <c r="D33" t="s">
        <v>78</v>
      </c>
    </row>
    <row r="34" spans="3:4" x14ac:dyDescent="0.25">
      <c r="C34" t="s">
        <v>79</v>
      </c>
      <c r="D34" s="19" t="s">
        <v>87</v>
      </c>
    </row>
    <row r="35" spans="3:4" x14ac:dyDescent="0.25">
      <c r="C35" t="s">
        <v>146</v>
      </c>
      <c r="D35" s="19" t="s">
        <v>147</v>
      </c>
    </row>
    <row r="36" spans="3:4" x14ac:dyDescent="0.25">
      <c r="C36" t="s">
        <v>81</v>
      </c>
      <c r="D36" t="s">
        <v>157</v>
      </c>
    </row>
    <row r="37" spans="3:4" x14ac:dyDescent="0.25">
      <c r="C37" t="s">
        <v>80</v>
      </c>
      <c r="D37" t="s">
        <v>86</v>
      </c>
    </row>
    <row r="38" spans="3:4" x14ac:dyDescent="0.25">
      <c r="C38" t="s">
        <v>82</v>
      </c>
      <c r="D38" t="s">
        <v>85</v>
      </c>
    </row>
    <row r="39" spans="3:4" x14ac:dyDescent="0.25">
      <c r="C39" t="s">
        <v>83</v>
      </c>
      <c r="D39" t="s">
        <v>84</v>
      </c>
    </row>
  </sheetData>
  <phoneticPr fontId="2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9"/>
  <sheetViews>
    <sheetView zoomScaleNormal="100" workbookViewId="0"/>
  </sheetViews>
  <sheetFormatPr defaultColWidth="9.10937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4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4" x14ac:dyDescent="0.25">
      <c r="A2" s="39" t="s">
        <v>4</v>
      </c>
      <c r="B2" s="46">
        <f t="shared" ref="B2:B21" si="0">IFERROR(((E2-F2)/F2),"")</f>
        <v>-0.48049645390070922</v>
      </c>
      <c r="C2" s="73">
        <v>0</v>
      </c>
      <c r="D2" s="37">
        <v>-413</v>
      </c>
      <c r="E2" s="42">
        <v>293</v>
      </c>
      <c r="F2" s="37">
        <v>564</v>
      </c>
      <c r="G2" s="37">
        <v>50</v>
      </c>
      <c r="H2" s="37">
        <v>1887</v>
      </c>
      <c r="I2" s="37">
        <v>0</v>
      </c>
      <c r="J2" s="37">
        <v>17</v>
      </c>
      <c r="K2" s="37">
        <v>139</v>
      </c>
      <c r="L2" s="37">
        <v>0</v>
      </c>
      <c r="M2" s="37">
        <v>240</v>
      </c>
      <c r="N2" s="37">
        <v>0</v>
      </c>
      <c r="O2" s="37">
        <v>120</v>
      </c>
      <c r="P2" s="37">
        <v>60</v>
      </c>
      <c r="Q2" s="37">
        <v>0</v>
      </c>
      <c r="R2" s="37">
        <v>0</v>
      </c>
      <c r="S2" s="37">
        <v>0</v>
      </c>
      <c r="T2" s="37">
        <v>2</v>
      </c>
      <c r="U2" s="37">
        <v>106</v>
      </c>
      <c r="V2" s="37">
        <v>0</v>
      </c>
      <c r="W2" s="65">
        <v>273</v>
      </c>
    </row>
    <row r="3" spans="1:24" x14ac:dyDescent="0.25">
      <c r="A3" s="39" t="s">
        <v>11</v>
      </c>
      <c r="B3" s="46">
        <f t="shared" si="0"/>
        <v>16.847826086956523</v>
      </c>
      <c r="C3" s="73">
        <v>-2039</v>
      </c>
      <c r="D3" s="37">
        <v>-2413</v>
      </c>
      <c r="E3" s="42">
        <v>821</v>
      </c>
      <c r="F3" s="37">
        <v>46</v>
      </c>
      <c r="G3" s="37">
        <v>562</v>
      </c>
      <c r="H3" s="37">
        <v>0</v>
      </c>
      <c r="I3" s="37">
        <v>94</v>
      </c>
      <c r="J3" s="37">
        <v>7</v>
      </c>
      <c r="K3" s="37">
        <v>421</v>
      </c>
      <c r="L3" s="37">
        <v>17</v>
      </c>
      <c r="M3" s="37">
        <v>5</v>
      </c>
      <c r="N3" s="37">
        <v>76</v>
      </c>
      <c r="O3" s="37">
        <v>4</v>
      </c>
      <c r="P3" s="37">
        <v>51</v>
      </c>
      <c r="Q3" s="37">
        <v>8</v>
      </c>
      <c r="R3" s="37">
        <v>71</v>
      </c>
      <c r="S3" s="37">
        <v>23</v>
      </c>
      <c r="T3" s="37">
        <v>27</v>
      </c>
      <c r="U3" s="37">
        <v>22</v>
      </c>
      <c r="V3" s="37">
        <v>0</v>
      </c>
      <c r="W3" s="65">
        <v>0</v>
      </c>
    </row>
    <row r="4" spans="1:24" x14ac:dyDescent="0.25">
      <c r="A4" s="39" t="s">
        <v>5</v>
      </c>
      <c r="B4" s="46" t="str">
        <f t="shared" si="0"/>
        <v/>
      </c>
      <c r="C4" s="73">
        <v>0</v>
      </c>
      <c r="D4" s="37">
        <v>0</v>
      </c>
      <c r="E4" s="42">
        <v>0</v>
      </c>
      <c r="F4" s="37">
        <v>0</v>
      </c>
      <c r="G4" s="37">
        <v>0</v>
      </c>
      <c r="H4" s="37">
        <v>0</v>
      </c>
      <c r="I4" s="37">
        <v>0</v>
      </c>
      <c r="J4" s="37"/>
      <c r="K4" s="37"/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>
        <v>1</v>
      </c>
      <c r="V4" s="37">
        <v>0</v>
      </c>
      <c r="W4" s="65">
        <v>0</v>
      </c>
    </row>
    <row r="5" spans="1:24" x14ac:dyDescent="0.25">
      <c r="A5" s="39" t="s">
        <v>2</v>
      </c>
      <c r="B5" s="46">
        <f t="shared" si="0"/>
        <v>1.5206611570247934</v>
      </c>
      <c r="C5" s="73">
        <v>-7191</v>
      </c>
      <c r="D5" s="37">
        <v>-6684</v>
      </c>
      <c r="E5" s="42">
        <v>2440</v>
      </c>
      <c r="F5" s="37">
        <v>968</v>
      </c>
      <c r="G5" s="37">
        <v>8464</v>
      </c>
      <c r="H5" s="37">
        <v>7816</v>
      </c>
      <c r="I5" s="37">
        <v>3203</v>
      </c>
      <c r="J5" s="37">
        <v>3299</v>
      </c>
      <c r="K5" s="37">
        <v>2630</v>
      </c>
      <c r="L5" s="37">
        <v>1447</v>
      </c>
      <c r="M5" s="37">
        <v>2293</v>
      </c>
      <c r="N5" s="37">
        <v>897</v>
      </c>
      <c r="O5" s="37">
        <v>4971</v>
      </c>
      <c r="P5" s="37">
        <v>1277</v>
      </c>
      <c r="Q5" s="37">
        <v>120</v>
      </c>
      <c r="R5" s="37">
        <v>788</v>
      </c>
      <c r="S5" s="37">
        <v>956</v>
      </c>
      <c r="T5" s="37">
        <v>2601</v>
      </c>
      <c r="U5" s="37">
        <v>501</v>
      </c>
      <c r="V5" s="37">
        <v>920</v>
      </c>
      <c r="W5" s="65">
        <v>940</v>
      </c>
    </row>
    <row r="6" spans="1:24" x14ac:dyDescent="0.25">
      <c r="A6" s="39" t="s">
        <v>12</v>
      </c>
      <c r="B6" s="46">
        <f t="shared" si="0"/>
        <v>-0.26751592356687898</v>
      </c>
      <c r="C6" s="73">
        <v>-1295</v>
      </c>
      <c r="D6" s="37">
        <v>-631</v>
      </c>
      <c r="E6" s="42">
        <v>230</v>
      </c>
      <c r="F6" s="37">
        <v>314</v>
      </c>
      <c r="G6" s="37">
        <v>223</v>
      </c>
      <c r="H6" s="37">
        <v>638</v>
      </c>
      <c r="I6" s="37">
        <v>596</v>
      </c>
      <c r="J6" s="37">
        <v>67</v>
      </c>
      <c r="K6" s="37">
        <v>1389</v>
      </c>
      <c r="L6" s="37">
        <v>0</v>
      </c>
      <c r="M6" s="37">
        <v>86</v>
      </c>
      <c r="N6" s="37">
        <v>15</v>
      </c>
      <c r="O6" s="37">
        <v>395</v>
      </c>
      <c r="P6" s="37">
        <v>145</v>
      </c>
      <c r="Q6" s="37">
        <v>6</v>
      </c>
      <c r="R6" s="37">
        <v>65</v>
      </c>
      <c r="S6" s="37">
        <v>9</v>
      </c>
      <c r="T6" s="37">
        <v>29</v>
      </c>
      <c r="U6" s="37">
        <v>45</v>
      </c>
      <c r="V6" s="37">
        <v>2</v>
      </c>
      <c r="W6" s="65">
        <v>6</v>
      </c>
    </row>
    <row r="7" spans="1:24" x14ac:dyDescent="0.25">
      <c r="A7" s="39" t="s">
        <v>9</v>
      </c>
      <c r="B7" s="46">
        <f t="shared" si="0"/>
        <v>-0.82840236686390534</v>
      </c>
      <c r="C7" s="73">
        <v>-2072</v>
      </c>
      <c r="D7" s="37">
        <v>-3672</v>
      </c>
      <c r="E7" s="42">
        <v>203</v>
      </c>
      <c r="F7" s="37">
        <v>1183</v>
      </c>
      <c r="G7" s="37">
        <v>1058</v>
      </c>
      <c r="H7" s="37">
        <v>2106</v>
      </c>
      <c r="I7" s="37">
        <v>2715</v>
      </c>
      <c r="J7" s="37">
        <v>1140</v>
      </c>
      <c r="K7" s="37">
        <v>555</v>
      </c>
      <c r="L7" s="37">
        <v>116</v>
      </c>
      <c r="M7" s="37">
        <v>59</v>
      </c>
      <c r="N7" s="37">
        <v>111</v>
      </c>
      <c r="O7" s="37">
        <v>55</v>
      </c>
      <c r="P7" s="37">
        <v>228</v>
      </c>
      <c r="Q7" s="37">
        <v>31</v>
      </c>
      <c r="R7" s="37">
        <v>67</v>
      </c>
      <c r="S7" s="37">
        <v>111</v>
      </c>
      <c r="T7" s="37">
        <v>2</v>
      </c>
      <c r="U7" s="37">
        <v>33</v>
      </c>
      <c r="V7" s="37">
        <v>100</v>
      </c>
      <c r="W7" s="65">
        <v>0</v>
      </c>
    </row>
    <row r="8" spans="1:24" x14ac:dyDescent="0.25">
      <c r="A8" s="39" t="s">
        <v>14</v>
      </c>
      <c r="B8" s="46" t="str">
        <f t="shared" si="0"/>
        <v/>
      </c>
      <c r="C8" s="73">
        <v>0</v>
      </c>
      <c r="D8" s="37">
        <v>0</v>
      </c>
      <c r="E8" s="42">
        <v>0</v>
      </c>
      <c r="F8" s="37">
        <v>0</v>
      </c>
      <c r="G8" s="37">
        <v>0</v>
      </c>
      <c r="H8" s="37">
        <v>0</v>
      </c>
      <c r="I8" s="37">
        <v>0</v>
      </c>
      <c r="J8" s="37"/>
      <c r="K8" s="37">
        <v>20</v>
      </c>
      <c r="L8" s="37">
        <v>0</v>
      </c>
      <c r="M8" s="37">
        <v>95</v>
      </c>
      <c r="N8" s="37">
        <v>164</v>
      </c>
      <c r="O8" s="37">
        <v>5</v>
      </c>
      <c r="P8" s="37">
        <v>61</v>
      </c>
      <c r="Q8" s="37">
        <v>20</v>
      </c>
      <c r="R8" s="37">
        <v>20</v>
      </c>
      <c r="S8" s="37">
        <v>357</v>
      </c>
      <c r="T8" s="37">
        <v>593</v>
      </c>
      <c r="U8" s="37">
        <v>71</v>
      </c>
      <c r="V8" s="37">
        <v>24</v>
      </c>
      <c r="W8" s="65">
        <v>198</v>
      </c>
    </row>
    <row r="9" spans="1:24" x14ac:dyDescent="0.25">
      <c r="A9" s="39" t="s">
        <v>3</v>
      </c>
      <c r="B9" s="46">
        <f t="shared" si="0"/>
        <v>0.12885154061624648</v>
      </c>
      <c r="C9" s="73">
        <v>-170</v>
      </c>
      <c r="D9" s="37">
        <v>-709</v>
      </c>
      <c r="E9" s="42">
        <v>403</v>
      </c>
      <c r="F9" s="37">
        <v>357</v>
      </c>
      <c r="G9" s="37">
        <v>196</v>
      </c>
      <c r="H9" s="37">
        <v>564</v>
      </c>
      <c r="I9" s="37">
        <v>1001</v>
      </c>
      <c r="J9" s="37">
        <v>584</v>
      </c>
      <c r="K9" s="37">
        <v>938</v>
      </c>
      <c r="L9" s="37">
        <v>2</v>
      </c>
      <c r="M9" s="37">
        <v>3010</v>
      </c>
      <c r="N9" s="37">
        <v>2415</v>
      </c>
      <c r="O9" s="37">
        <v>1891</v>
      </c>
      <c r="P9" s="37">
        <v>2175</v>
      </c>
      <c r="Q9" s="37">
        <v>1231</v>
      </c>
      <c r="R9" s="37">
        <v>3944</v>
      </c>
      <c r="S9" s="37">
        <v>1731</v>
      </c>
      <c r="T9" s="37">
        <v>3398</v>
      </c>
      <c r="U9" s="37">
        <v>6179</v>
      </c>
      <c r="V9" s="37">
        <v>1854</v>
      </c>
      <c r="W9" s="65">
        <v>3140</v>
      </c>
    </row>
    <row r="10" spans="1:24" x14ac:dyDescent="0.25">
      <c r="A10" s="39" t="s">
        <v>15</v>
      </c>
      <c r="B10" s="46" t="str">
        <f t="shared" si="0"/>
        <v/>
      </c>
      <c r="C10" s="73">
        <v>0</v>
      </c>
      <c r="D10" s="37">
        <v>0</v>
      </c>
      <c r="E10" s="42">
        <v>0</v>
      </c>
      <c r="F10" s="37">
        <v>0</v>
      </c>
      <c r="G10" s="37">
        <v>0</v>
      </c>
      <c r="H10" s="37">
        <v>0</v>
      </c>
      <c r="I10" s="37">
        <v>0</v>
      </c>
      <c r="J10" s="37"/>
      <c r="K10" s="37"/>
      <c r="L10" s="37">
        <v>0</v>
      </c>
      <c r="M10" s="37">
        <v>0</v>
      </c>
      <c r="N10" s="37"/>
      <c r="O10" s="37"/>
      <c r="P10" s="37"/>
      <c r="Q10" s="37"/>
      <c r="R10" s="37"/>
      <c r="S10" s="37"/>
      <c r="T10" s="37"/>
      <c r="U10" s="37"/>
      <c r="V10" s="37"/>
      <c r="W10" s="65"/>
    </row>
    <row r="11" spans="1:24" x14ac:dyDescent="0.25">
      <c r="A11" s="39" t="s">
        <v>10</v>
      </c>
      <c r="B11" s="46">
        <f t="shared" si="0"/>
        <v>-0.4642857142857143</v>
      </c>
      <c r="C11" s="73">
        <v>-151</v>
      </c>
      <c r="D11" s="37">
        <v>-65</v>
      </c>
      <c r="E11" s="42">
        <v>480</v>
      </c>
      <c r="F11" s="37">
        <v>896</v>
      </c>
      <c r="G11" s="37">
        <v>1295</v>
      </c>
      <c r="H11" s="37">
        <v>4178</v>
      </c>
      <c r="I11" s="37">
        <v>3072</v>
      </c>
      <c r="J11" s="37">
        <v>674</v>
      </c>
      <c r="K11" s="37">
        <v>5076</v>
      </c>
      <c r="L11" s="37">
        <v>2900</v>
      </c>
      <c r="M11" s="37">
        <v>4000</v>
      </c>
      <c r="N11" s="37">
        <v>8537</v>
      </c>
      <c r="O11" s="37">
        <v>1845</v>
      </c>
      <c r="P11" s="37">
        <v>10915</v>
      </c>
      <c r="Q11" s="37">
        <v>8239</v>
      </c>
      <c r="R11" s="37">
        <v>4409</v>
      </c>
      <c r="S11" s="37">
        <v>2404</v>
      </c>
      <c r="T11" s="37">
        <v>7976</v>
      </c>
      <c r="U11" s="37">
        <v>6487</v>
      </c>
      <c r="V11" s="37">
        <v>2588</v>
      </c>
      <c r="W11" s="65">
        <v>5841</v>
      </c>
      <c r="X11" s="1"/>
    </row>
    <row r="12" spans="1:24" x14ac:dyDescent="0.25">
      <c r="A12" s="39" t="s">
        <v>101</v>
      </c>
      <c r="B12" s="46" t="str">
        <f t="shared" si="0"/>
        <v/>
      </c>
      <c r="C12" s="73">
        <v>0</v>
      </c>
      <c r="D12" s="37">
        <v>0</v>
      </c>
      <c r="E12" s="42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>
        <v>0</v>
      </c>
      <c r="M12" s="37">
        <v>0</v>
      </c>
      <c r="N12" s="37"/>
      <c r="O12" s="37"/>
      <c r="P12" s="37"/>
      <c r="Q12" s="37"/>
      <c r="R12" s="37"/>
      <c r="S12" s="37"/>
      <c r="T12" s="37"/>
      <c r="U12" s="37"/>
      <c r="V12" s="37"/>
      <c r="W12" s="65"/>
      <c r="X12" s="1"/>
    </row>
    <row r="13" spans="1:24" x14ac:dyDescent="0.25">
      <c r="A13" s="39" t="s">
        <v>27</v>
      </c>
      <c r="B13" s="46">
        <f t="shared" si="0"/>
        <v>0.43456375838926176</v>
      </c>
      <c r="C13" s="73">
        <v>-1716</v>
      </c>
      <c r="D13" s="37">
        <v>-1146</v>
      </c>
      <c r="E13" s="42">
        <v>5985</v>
      </c>
      <c r="F13" s="37">
        <v>4172</v>
      </c>
      <c r="G13" s="37">
        <v>4856</v>
      </c>
      <c r="H13" s="37">
        <v>7683</v>
      </c>
      <c r="I13" s="37">
        <v>3447</v>
      </c>
      <c r="J13" s="37">
        <v>4081</v>
      </c>
      <c r="K13" s="37">
        <v>12851</v>
      </c>
      <c r="L13" s="37">
        <v>2457</v>
      </c>
      <c r="M13" s="37">
        <v>11737</v>
      </c>
      <c r="N13" s="37">
        <v>10644</v>
      </c>
      <c r="O13" s="37">
        <v>13258</v>
      </c>
      <c r="P13" s="37">
        <v>12256</v>
      </c>
      <c r="Q13" s="37">
        <v>14348</v>
      </c>
      <c r="R13" s="37">
        <v>15996</v>
      </c>
      <c r="S13" s="37">
        <v>10696</v>
      </c>
      <c r="T13" s="37">
        <v>16502</v>
      </c>
      <c r="U13" s="37">
        <v>18909</v>
      </c>
      <c r="V13" s="37">
        <v>10975</v>
      </c>
      <c r="W13" s="65">
        <v>14020</v>
      </c>
      <c r="X13" s="1"/>
    </row>
    <row r="14" spans="1:24" x14ac:dyDescent="0.25">
      <c r="A14" s="39" t="s">
        <v>26</v>
      </c>
      <c r="B14" s="46">
        <f t="shared" si="0"/>
        <v>0.29022157996146436</v>
      </c>
      <c r="C14" s="73">
        <v>-3062</v>
      </c>
      <c r="D14" s="37">
        <v>-3348</v>
      </c>
      <c r="E14" s="42">
        <v>5357</v>
      </c>
      <c r="F14" s="37">
        <v>4152</v>
      </c>
      <c r="G14" s="37">
        <v>6986</v>
      </c>
      <c r="H14" s="37">
        <v>12572</v>
      </c>
      <c r="I14" s="37">
        <v>11279</v>
      </c>
      <c r="J14" s="37">
        <v>7528</v>
      </c>
      <c r="K14" s="37">
        <v>19990</v>
      </c>
      <c r="L14" s="37">
        <v>3797</v>
      </c>
      <c r="M14" s="37">
        <v>20643</v>
      </c>
      <c r="N14" s="37">
        <v>23427</v>
      </c>
      <c r="O14" s="37">
        <v>23756</v>
      </c>
      <c r="P14" s="37">
        <v>20362</v>
      </c>
      <c r="Q14" s="37">
        <v>21194</v>
      </c>
      <c r="R14" s="37">
        <v>20725</v>
      </c>
      <c r="S14" s="37">
        <v>14014</v>
      </c>
      <c r="T14" s="37">
        <v>20415</v>
      </c>
      <c r="U14" s="37">
        <v>18087</v>
      </c>
      <c r="V14" s="37">
        <v>10285</v>
      </c>
      <c r="W14" s="65">
        <v>15241</v>
      </c>
    </row>
    <row r="15" spans="1:24" x14ac:dyDescent="0.25">
      <c r="A15" s="39" t="s">
        <v>13</v>
      </c>
      <c r="B15" s="46">
        <f t="shared" si="0"/>
        <v>-0.54923717059639388</v>
      </c>
      <c r="C15" s="73">
        <v>-673</v>
      </c>
      <c r="D15" s="37">
        <v>-729</v>
      </c>
      <c r="E15" s="42">
        <v>325</v>
      </c>
      <c r="F15" s="37">
        <v>721</v>
      </c>
      <c r="G15" s="37">
        <v>1005</v>
      </c>
      <c r="H15" s="37">
        <v>1385</v>
      </c>
      <c r="I15" s="37">
        <v>1322</v>
      </c>
      <c r="J15" s="37">
        <v>533</v>
      </c>
      <c r="K15" s="37">
        <v>1411</v>
      </c>
      <c r="L15" s="37">
        <v>393</v>
      </c>
      <c r="M15" s="37">
        <v>3079</v>
      </c>
      <c r="N15" s="37">
        <v>2930</v>
      </c>
      <c r="O15" s="37">
        <v>3758</v>
      </c>
      <c r="P15" s="37">
        <v>1034</v>
      </c>
      <c r="Q15" s="37">
        <v>294</v>
      </c>
      <c r="R15" s="37">
        <v>1283</v>
      </c>
      <c r="S15" s="37">
        <v>569</v>
      </c>
      <c r="T15" s="37">
        <v>1051</v>
      </c>
      <c r="U15" s="37">
        <v>145</v>
      </c>
      <c r="V15" s="37">
        <v>0</v>
      </c>
      <c r="W15" s="65">
        <v>15</v>
      </c>
    </row>
    <row r="16" spans="1:24" x14ac:dyDescent="0.25">
      <c r="A16" s="39" t="s">
        <v>135</v>
      </c>
      <c r="B16" s="46">
        <f t="shared" si="0"/>
        <v>-7.8729738670195171E-2</v>
      </c>
      <c r="C16" s="73">
        <v>-8298</v>
      </c>
      <c r="D16" s="37">
        <v>-9500</v>
      </c>
      <c r="E16" s="42">
        <v>22280</v>
      </c>
      <c r="F16" s="37">
        <v>24184</v>
      </c>
      <c r="G16" s="37">
        <v>23878</v>
      </c>
      <c r="H16" s="37">
        <v>36385</v>
      </c>
      <c r="I16" s="37">
        <v>25689</v>
      </c>
      <c r="J16" s="37">
        <v>15036</v>
      </c>
      <c r="K16" s="37">
        <v>32959</v>
      </c>
      <c r="L16" s="37">
        <v>13504</v>
      </c>
      <c r="M16" s="37">
        <v>26848</v>
      </c>
      <c r="N16" s="37">
        <v>16081</v>
      </c>
      <c r="O16" s="37">
        <v>10534</v>
      </c>
      <c r="P16" s="37">
        <v>7742</v>
      </c>
      <c r="Q16" s="37">
        <v>8421</v>
      </c>
      <c r="R16" s="37">
        <v>6290</v>
      </c>
      <c r="S16" s="37">
        <v>2724</v>
      </c>
      <c r="T16" s="37">
        <v>5220</v>
      </c>
      <c r="U16" s="37">
        <v>3536</v>
      </c>
      <c r="V16" s="37">
        <v>2043</v>
      </c>
      <c r="W16" s="65">
        <v>262</v>
      </c>
    </row>
    <row r="17" spans="1:23" x14ac:dyDescent="0.25">
      <c r="A17" s="39" t="s">
        <v>91</v>
      </c>
      <c r="B17" s="46" t="str">
        <f t="shared" si="0"/>
        <v/>
      </c>
      <c r="C17" s="73">
        <v>0</v>
      </c>
      <c r="D17" s="37">
        <v>0</v>
      </c>
      <c r="E17" s="42">
        <v>0</v>
      </c>
      <c r="F17" s="37">
        <v>0</v>
      </c>
      <c r="G17" s="37">
        <v>0</v>
      </c>
      <c r="H17" s="37">
        <v>56</v>
      </c>
      <c r="I17" s="37">
        <v>0</v>
      </c>
      <c r="J17" s="37"/>
      <c r="K17" s="37"/>
      <c r="L17" s="37">
        <v>0</v>
      </c>
      <c r="M17" s="37">
        <v>2</v>
      </c>
      <c r="N17" s="37">
        <v>1</v>
      </c>
      <c r="O17" s="37">
        <v>0</v>
      </c>
      <c r="P17" s="37">
        <v>0</v>
      </c>
      <c r="Q17" s="37">
        <v>1</v>
      </c>
      <c r="R17" s="37"/>
      <c r="S17" s="37"/>
      <c r="T17" s="37">
        <v>0</v>
      </c>
      <c r="U17" s="37">
        <v>11</v>
      </c>
      <c r="V17" s="37">
        <v>0</v>
      </c>
      <c r="W17" s="65">
        <v>0</v>
      </c>
    </row>
    <row r="18" spans="1:23" x14ac:dyDescent="0.25">
      <c r="A18" s="39" t="s">
        <v>98</v>
      </c>
      <c r="B18" s="46">
        <f t="shared" si="0"/>
        <v>-0.6071428571428571</v>
      </c>
      <c r="C18" s="73">
        <v>-137</v>
      </c>
      <c r="D18" s="37">
        <v>-24</v>
      </c>
      <c r="E18" s="42">
        <v>66</v>
      </c>
      <c r="F18" s="37">
        <v>168</v>
      </c>
      <c r="G18" s="37">
        <v>460</v>
      </c>
      <c r="H18" s="37">
        <v>315</v>
      </c>
      <c r="I18" s="37">
        <v>76</v>
      </c>
      <c r="J18" s="37">
        <v>61</v>
      </c>
      <c r="K18" s="37">
        <v>249</v>
      </c>
      <c r="L18" s="37">
        <v>0</v>
      </c>
      <c r="M18" s="37">
        <v>33</v>
      </c>
      <c r="N18" s="37">
        <v>64</v>
      </c>
      <c r="O18" s="37">
        <v>56</v>
      </c>
      <c r="P18" s="37">
        <v>38</v>
      </c>
      <c r="Q18" s="37">
        <v>28</v>
      </c>
      <c r="R18" s="37">
        <v>56</v>
      </c>
      <c r="S18" s="37">
        <v>228</v>
      </c>
      <c r="T18" s="37">
        <v>209</v>
      </c>
      <c r="U18" s="37">
        <v>244</v>
      </c>
      <c r="V18" s="37">
        <v>0</v>
      </c>
      <c r="W18" s="65">
        <v>255</v>
      </c>
    </row>
    <row r="19" spans="1:23" x14ac:dyDescent="0.25">
      <c r="A19" s="39" t="s">
        <v>144</v>
      </c>
      <c r="B19" s="46">
        <f t="shared" si="0"/>
        <v>8.2627118644067798E-2</v>
      </c>
      <c r="C19" s="73">
        <v>-2389</v>
      </c>
      <c r="D19" s="37">
        <v>-5383</v>
      </c>
      <c r="E19" s="42">
        <v>7154</v>
      </c>
      <c r="F19" s="37">
        <v>6608</v>
      </c>
      <c r="G19" s="37">
        <v>9256</v>
      </c>
      <c r="H19" s="37">
        <v>5552</v>
      </c>
      <c r="I19" s="37">
        <v>7790</v>
      </c>
      <c r="J19" s="37">
        <v>4695</v>
      </c>
      <c r="K19" s="37">
        <v>8199</v>
      </c>
      <c r="L19" s="37">
        <v>615</v>
      </c>
      <c r="M19" s="37">
        <v>3965</v>
      </c>
      <c r="N19" s="37">
        <v>4567</v>
      </c>
      <c r="O19" s="37">
        <v>4610</v>
      </c>
      <c r="P19" s="37">
        <v>2555</v>
      </c>
      <c r="Q19" s="37">
        <v>711</v>
      </c>
      <c r="R19" s="37">
        <v>1509</v>
      </c>
      <c r="S19" s="37">
        <v>610</v>
      </c>
      <c r="T19" s="37">
        <v>738</v>
      </c>
      <c r="U19" s="37">
        <v>567</v>
      </c>
      <c r="V19" s="37">
        <v>460</v>
      </c>
      <c r="W19" s="65">
        <v>0</v>
      </c>
    </row>
    <row r="20" spans="1:23" ht="13.8" thickBot="1" x14ac:dyDescent="0.3">
      <c r="A20" s="40" t="s">
        <v>6</v>
      </c>
      <c r="B20" s="47">
        <f t="shared" si="0"/>
        <v>-0.96007984031936133</v>
      </c>
      <c r="C20" s="73">
        <v>-2498</v>
      </c>
      <c r="D20" s="37">
        <v>-1782</v>
      </c>
      <c r="E20" s="42">
        <v>100</v>
      </c>
      <c r="F20" s="37">
        <v>2505</v>
      </c>
      <c r="G20" s="37">
        <v>2877</v>
      </c>
      <c r="H20" s="37">
        <v>4173</v>
      </c>
      <c r="I20" s="37">
        <v>293</v>
      </c>
      <c r="J20" s="37">
        <v>163</v>
      </c>
      <c r="K20" s="37">
        <v>564</v>
      </c>
      <c r="L20" s="37">
        <v>47</v>
      </c>
      <c r="M20" s="37">
        <v>516</v>
      </c>
      <c r="N20" s="36">
        <v>181</v>
      </c>
      <c r="O20" s="36">
        <v>699</v>
      </c>
      <c r="P20" s="36">
        <v>1531</v>
      </c>
      <c r="Q20" s="36">
        <v>745</v>
      </c>
      <c r="R20" s="36">
        <v>259</v>
      </c>
      <c r="S20" s="36">
        <v>367</v>
      </c>
      <c r="T20" s="36">
        <v>700</v>
      </c>
      <c r="U20" s="36">
        <v>597</v>
      </c>
      <c r="V20" s="36">
        <v>488</v>
      </c>
      <c r="W20" s="66">
        <v>533</v>
      </c>
    </row>
    <row r="21" spans="1:23" ht="13.8" thickBot="1" x14ac:dyDescent="0.3">
      <c r="A21" s="41" t="s">
        <v>94</v>
      </c>
      <c r="B21" s="77">
        <f t="shared" si="0"/>
        <v>-1.4966480208377812E-2</v>
      </c>
      <c r="C21" s="70">
        <v>-31691</v>
      </c>
      <c r="D21" s="45">
        <v>-36499</v>
      </c>
      <c r="E21" s="44">
        <f t="shared" ref="E21" si="1">SUM(E2:E20)</f>
        <v>46137</v>
      </c>
      <c r="F21" s="45">
        <f t="shared" ref="F21:K21" si="2">SUM(F2:F20)</f>
        <v>46838</v>
      </c>
      <c r="G21" s="45">
        <f t="shared" si="2"/>
        <v>61166</v>
      </c>
      <c r="H21" s="45">
        <f t="shared" si="2"/>
        <v>85310</v>
      </c>
      <c r="I21" s="45">
        <f t="shared" si="2"/>
        <v>60577</v>
      </c>
      <c r="J21" s="45">
        <f t="shared" si="2"/>
        <v>37885</v>
      </c>
      <c r="K21" s="45">
        <f t="shared" si="2"/>
        <v>87391</v>
      </c>
      <c r="L21" s="45">
        <f t="shared" ref="L21:Q21" si="3">SUM(L2:L20)</f>
        <v>25295</v>
      </c>
      <c r="M21" s="45">
        <f t="shared" si="3"/>
        <v>76611</v>
      </c>
      <c r="N21" s="45">
        <f t="shared" si="3"/>
        <v>70110</v>
      </c>
      <c r="O21" s="45">
        <f t="shared" si="3"/>
        <v>65957</v>
      </c>
      <c r="P21" s="45">
        <f t="shared" si="3"/>
        <v>60430</v>
      </c>
      <c r="Q21" s="45">
        <f t="shared" si="3"/>
        <v>55397</v>
      </c>
      <c r="R21" s="45">
        <f t="shared" ref="R21:W21" si="4">SUM(R2:R20)</f>
        <v>55482</v>
      </c>
      <c r="S21" s="45">
        <f t="shared" si="4"/>
        <v>34799</v>
      </c>
      <c r="T21" s="45">
        <f t="shared" si="4"/>
        <v>59463</v>
      </c>
      <c r="U21" s="45">
        <f t="shared" si="4"/>
        <v>55541</v>
      </c>
      <c r="V21" s="45">
        <f t="shared" si="4"/>
        <v>29739</v>
      </c>
      <c r="W21" s="34">
        <f t="shared" si="4"/>
        <v>40724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1" customFormat="1" ht="13.8" thickBot="1" x14ac:dyDescent="0.3">
      <c r="A24" s="52" t="s">
        <v>25</v>
      </c>
      <c r="B24" s="118" t="s">
        <v>171</v>
      </c>
      <c r="C24" s="48" t="s">
        <v>172</v>
      </c>
      <c r="D24" s="78" t="s">
        <v>169</v>
      </c>
      <c r="E24" s="104">
        <v>45809</v>
      </c>
      <c r="F24" s="110">
        <v>45444</v>
      </c>
      <c r="G24" s="110">
        <v>45078</v>
      </c>
      <c r="H24" s="110">
        <v>44713</v>
      </c>
      <c r="I24" s="110">
        <v>44348</v>
      </c>
      <c r="J24" s="110">
        <v>43983</v>
      </c>
      <c r="K24" s="110">
        <v>43617</v>
      </c>
      <c r="L24" s="110">
        <v>43252</v>
      </c>
      <c r="M24" s="24">
        <v>42887</v>
      </c>
      <c r="N24" s="24">
        <v>42522</v>
      </c>
      <c r="O24" s="24">
        <v>42156</v>
      </c>
      <c r="P24" s="24">
        <v>41791</v>
      </c>
      <c r="Q24" s="24">
        <v>41426</v>
      </c>
      <c r="R24" s="24">
        <v>41061</v>
      </c>
      <c r="S24" s="24">
        <v>40695</v>
      </c>
      <c r="T24" s="24">
        <v>40330</v>
      </c>
      <c r="U24" s="24">
        <v>39965</v>
      </c>
      <c r="V24" s="24">
        <v>39600</v>
      </c>
      <c r="W24" s="25">
        <v>39234</v>
      </c>
    </row>
    <row r="25" spans="1:23" s="51" customFormat="1" ht="13.8" thickBot="1" x14ac:dyDescent="0.3">
      <c r="A25" s="57" t="s">
        <v>6</v>
      </c>
      <c r="B25" s="89">
        <f t="shared" ref="B25:B26" si="5">IFERROR(((E25-F25)/F25),"")</f>
        <v>-0.67990654205607481</v>
      </c>
      <c r="C25" s="135">
        <v>-167</v>
      </c>
      <c r="D25" s="60">
        <v>428</v>
      </c>
      <c r="E25" s="59">
        <v>137</v>
      </c>
      <c r="F25" s="60">
        <v>428</v>
      </c>
      <c r="G25" s="60">
        <v>93</v>
      </c>
      <c r="H25" s="60">
        <v>313</v>
      </c>
      <c r="I25" s="60">
        <v>0</v>
      </c>
      <c r="J25" s="60">
        <v>219</v>
      </c>
      <c r="K25" s="60">
        <v>28</v>
      </c>
      <c r="L25" s="60">
        <v>0</v>
      </c>
      <c r="M25" s="60">
        <v>0</v>
      </c>
      <c r="N25" s="60">
        <v>0</v>
      </c>
      <c r="O25" s="60">
        <v>0</v>
      </c>
      <c r="P25" s="60">
        <v>158</v>
      </c>
      <c r="Q25" s="60">
        <v>0</v>
      </c>
      <c r="R25" s="60">
        <v>151</v>
      </c>
      <c r="S25" s="60">
        <v>0</v>
      </c>
      <c r="T25" s="60">
        <v>0</v>
      </c>
      <c r="U25" s="60">
        <v>0</v>
      </c>
      <c r="V25" s="60">
        <v>50</v>
      </c>
      <c r="W25" s="68">
        <v>0</v>
      </c>
    </row>
    <row r="26" spans="1:23" s="51" customFormat="1" ht="13.8" thickBot="1" x14ac:dyDescent="0.3">
      <c r="A26" s="61" t="s">
        <v>94</v>
      </c>
      <c r="B26" s="62">
        <f t="shared" si="5"/>
        <v>-0.67990654205607481</v>
      </c>
      <c r="C26" s="144">
        <v>-167</v>
      </c>
      <c r="D26" s="83">
        <v>428</v>
      </c>
      <c r="E26" s="63">
        <f>SUM(E25)</f>
        <v>137</v>
      </c>
      <c r="F26" s="83">
        <f>SUM(F25)</f>
        <v>428</v>
      </c>
      <c r="G26" s="83">
        <v>93</v>
      </c>
      <c r="H26" s="83">
        <v>313</v>
      </c>
      <c r="I26" s="83">
        <v>0</v>
      </c>
      <c r="J26" s="83">
        <f>SUM(J25)</f>
        <v>219</v>
      </c>
      <c r="K26" s="83">
        <f>SUM(K25)</f>
        <v>28</v>
      </c>
      <c r="L26" s="83">
        <v>0</v>
      </c>
      <c r="M26" s="83">
        <v>0</v>
      </c>
      <c r="N26" s="83">
        <v>0</v>
      </c>
      <c r="O26" s="83">
        <v>0</v>
      </c>
      <c r="P26" s="83">
        <f>SUM(P25)</f>
        <v>158</v>
      </c>
      <c r="Q26" s="83">
        <f>SUM(Q25)</f>
        <v>0</v>
      </c>
      <c r="R26" s="83">
        <f>SUM(R25)</f>
        <v>151</v>
      </c>
      <c r="S26" s="83">
        <v>0</v>
      </c>
      <c r="T26" s="83">
        <f>SUM(T25)</f>
        <v>0</v>
      </c>
      <c r="U26" s="83">
        <f>SUM(U25)</f>
        <v>0</v>
      </c>
      <c r="V26" s="64">
        <f>SUM(V25)</f>
        <v>50</v>
      </c>
      <c r="W26" s="69">
        <v>0</v>
      </c>
    </row>
    <row r="27" spans="1:23" s="51" customFormat="1" x14ac:dyDescent="0.25"/>
    <row r="28" spans="1:23" s="51" customFormat="1" x14ac:dyDescent="0.25"/>
    <row r="29" spans="1:23" s="51" customFormat="1" x14ac:dyDescent="0.25">
      <c r="A29"/>
      <c r="B29"/>
      <c r="C29"/>
      <c r="D29"/>
      <c r="E29"/>
    </row>
  </sheetData>
  <conditionalFormatting sqref="E1">
    <cfRule type="expression" dxfId="15" priority="2">
      <formula>ISBLANK(XFD1)=FALSE</formula>
    </cfRule>
  </conditionalFormatting>
  <conditionalFormatting sqref="E24">
    <cfRule type="expression" dxfId="14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6"/>
  <sheetViews>
    <sheetView zoomScaleNormal="100" workbookViewId="0"/>
  </sheetViews>
  <sheetFormatPr defaultColWidth="9.10937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20" t="s">
        <v>20</v>
      </c>
      <c r="B2" s="122" t="str">
        <f t="shared" ref="B2:B20" si="0">IFERROR(((E2-F2)/F2),"")</f>
        <v/>
      </c>
      <c r="C2" s="49">
        <v>0</v>
      </c>
      <c r="D2" s="1">
        <v>0</v>
      </c>
      <c r="E2" s="105"/>
      <c r="F2" s="1"/>
      <c r="G2" s="1"/>
      <c r="H2" s="1"/>
      <c r="I2" s="1"/>
      <c r="J2" s="1"/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20" t="s">
        <v>11</v>
      </c>
      <c r="B3" s="122">
        <f t="shared" si="0"/>
        <v>-0.54819680242697566</v>
      </c>
      <c r="C3" s="49">
        <v>-5338.0999999999995</v>
      </c>
      <c r="D3" s="1">
        <v>-4988.521999999999</v>
      </c>
      <c r="E3" s="105">
        <v>4455.9000000000005</v>
      </c>
      <c r="F3" s="1">
        <v>9862.48</v>
      </c>
      <c r="G3" s="1">
        <v>6545.2</v>
      </c>
      <c r="H3" s="1">
        <v>13840.052000000001</v>
      </c>
      <c r="I3" s="1">
        <v>9065.3000000000011</v>
      </c>
      <c r="J3" s="1">
        <v>9585</v>
      </c>
      <c r="K3" s="1">
        <v>17633</v>
      </c>
      <c r="L3" s="1">
        <v>1083.0999999999999</v>
      </c>
      <c r="M3" s="1">
        <v>7392</v>
      </c>
      <c r="N3" s="1">
        <v>5596</v>
      </c>
      <c r="O3" s="1">
        <v>8488</v>
      </c>
      <c r="P3" s="1">
        <v>11550</v>
      </c>
      <c r="Q3" s="1">
        <v>971</v>
      </c>
      <c r="R3" s="1">
        <v>5419.3017033393735</v>
      </c>
      <c r="S3" s="1">
        <v>5837.3602969785152</v>
      </c>
      <c r="T3" s="1">
        <v>11246.1</v>
      </c>
      <c r="U3" s="1">
        <v>2911</v>
      </c>
      <c r="V3" s="1">
        <v>1451</v>
      </c>
      <c r="W3" s="28">
        <v>794</v>
      </c>
    </row>
    <row r="4" spans="1:23" ht="12.75" customHeight="1" x14ac:dyDescent="0.3">
      <c r="A4" s="20" t="s">
        <v>62</v>
      </c>
      <c r="B4" s="122">
        <f t="shared" si="0"/>
        <v>0.22048852624553889</v>
      </c>
      <c r="C4" s="49">
        <v>-18820.509999999998</v>
      </c>
      <c r="D4" s="1">
        <v>-21186.400000000001</v>
      </c>
      <c r="E4" s="105">
        <v>16674.8</v>
      </c>
      <c r="F4" s="1">
        <v>13662.398000000001</v>
      </c>
      <c r="G4" s="1">
        <v>14643.2</v>
      </c>
      <c r="H4" s="1">
        <v>3628.7</v>
      </c>
      <c r="I4" s="1">
        <v>3351.3</v>
      </c>
      <c r="J4" s="1">
        <v>352</v>
      </c>
      <c r="K4" s="1">
        <v>688</v>
      </c>
      <c r="L4" s="1">
        <v>121</v>
      </c>
      <c r="M4" s="1">
        <v>597</v>
      </c>
      <c r="N4" s="1">
        <v>204</v>
      </c>
      <c r="O4" s="1">
        <v>5369</v>
      </c>
      <c r="P4" s="1">
        <v>960</v>
      </c>
      <c r="Q4" s="1">
        <v>26</v>
      </c>
      <c r="R4" s="1">
        <v>664.47012166709806</v>
      </c>
      <c r="S4" s="1">
        <v>9.0439391759006096</v>
      </c>
      <c r="T4" s="95"/>
      <c r="U4" s="95"/>
      <c r="V4" s="95"/>
      <c r="W4" s="75"/>
    </row>
    <row r="5" spans="1:23" x14ac:dyDescent="0.25">
      <c r="A5" s="20" t="s">
        <v>2</v>
      </c>
      <c r="B5" s="122" t="str">
        <f t="shared" si="0"/>
        <v/>
      </c>
      <c r="C5" s="49">
        <v>0</v>
      </c>
      <c r="D5" s="1">
        <v>0</v>
      </c>
      <c r="E5" s="105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v>2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28">
        <v>0</v>
      </c>
    </row>
    <row r="6" spans="1:23" x14ac:dyDescent="0.25">
      <c r="A6" s="20" t="s">
        <v>12</v>
      </c>
      <c r="B6" s="122">
        <f t="shared" si="0"/>
        <v>0.74969623329847046</v>
      </c>
      <c r="C6" s="49">
        <v>-12471.420181057994</v>
      </c>
      <c r="D6" s="1">
        <v>-14189.960242832869</v>
      </c>
      <c r="E6" s="105">
        <v>5338.0881611672339</v>
      </c>
      <c r="F6" s="1">
        <v>3050.8656643239401</v>
      </c>
      <c r="G6" s="1">
        <v>2743.8249999999998</v>
      </c>
      <c r="H6" s="1">
        <v>11114.125</v>
      </c>
      <c r="I6" s="1">
        <v>13181.382399999999</v>
      </c>
      <c r="J6" s="1">
        <v>7023</v>
      </c>
      <c r="K6" s="1">
        <v>11373</v>
      </c>
      <c r="L6" s="1">
        <v>2885.4</v>
      </c>
      <c r="M6" s="1">
        <v>7803</v>
      </c>
      <c r="N6" s="1">
        <v>16350</v>
      </c>
      <c r="O6" s="1">
        <v>10444</v>
      </c>
      <c r="P6" s="1">
        <v>16224</v>
      </c>
      <c r="Q6" s="1">
        <v>2685</v>
      </c>
      <c r="R6" s="1">
        <v>4464.3143877815173</v>
      </c>
      <c r="S6" s="1">
        <v>10357.320120667509</v>
      </c>
      <c r="T6" s="1">
        <v>6384.7</v>
      </c>
      <c r="U6" s="1">
        <v>3677.6</v>
      </c>
      <c r="V6" s="1">
        <v>3219</v>
      </c>
      <c r="W6" s="28">
        <v>1549</v>
      </c>
    </row>
    <row r="7" spans="1:23" x14ac:dyDescent="0.25">
      <c r="A7" s="20" t="s">
        <v>9</v>
      </c>
      <c r="B7" s="122">
        <f t="shared" si="0"/>
        <v>1.6647911590906033</v>
      </c>
      <c r="C7" s="49">
        <v>-4799.0530000000008</v>
      </c>
      <c r="D7" s="1">
        <v>-3647.7250000000004</v>
      </c>
      <c r="E7" s="105">
        <v>1979.7</v>
      </c>
      <c r="F7" s="1">
        <v>742.91</v>
      </c>
      <c r="G7" s="1">
        <v>882.5</v>
      </c>
      <c r="H7" s="1">
        <v>1484.8320000000001</v>
      </c>
      <c r="I7" s="1">
        <v>146</v>
      </c>
      <c r="J7" s="1">
        <v>31</v>
      </c>
      <c r="K7" s="1">
        <v>13</v>
      </c>
      <c r="L7" s="1">
        <v>3</v>
      </c>
      <c r="M7" s="1">
        <v>11</v>
      </c>
      <c r="N7" s="1">
        <v>0</v>
      </c>
      <c r="O7" s="1">
        <v>31</v>
      </c>
      <c r="P7" s="1">
        <v>84</v>
      </c>
      <c r="Q7" s="1">
        <v>0</v>
      </c>
      <c r="R7" s="1">
        <v>0</v>
      </c>
      <c r="S7" s="1">
        <v>17.082996221145596</v>
      </c>
      <c r="T7" s="1">
        <v>28</v>
      </c>
      <c r="U7" s="1">
        <v>6</v>
      </c>
      <c r="V7" s="1">
        <v>8</v>
      </c>
      <c r="W7" s="28">
        <v>14</v>
      </c>
    </row>
    <row r="8" spans="1:23" x14ac:dyDescent="0.25">
      <c r="A8" s="20" t="s">
        <v>14</v>
      </c>
      <c r="B8" s="122" t="str">
        <f t="shared" si="0"/>
        <v/>
      </c>
      <c r="C8" s="49">
        <v>0</v>
      </c>
      <c r="D8" s="1">
        <v>0</v>
      </c>
      <c r="E8" s="105"/>
      <c r="F8" s="1"/>
      <c r="G8" s="1"/>
      <c r="H8" s="1"/>
      <c r="I8" s="1"/>
      <c r="J8" s="1"/>
      <c r="K8" s="1">
        <v>5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29.152244369660885</v>
      </c>
      <c r="S8" s="1">
        <v>0</v>
      </c>
      <c r="T8" s="1">
        <v>0</v>
      </c>
      <c r="U8" s="1">
        <v>57</v>
      </c>
      <c r="V8" s="1">
        <v>8</v>
      </c>
      <c r="W8" s="28">
        <v>31</v>
      </c>
    </row>
    <row r="9" spans="1:23" x14ac:dyDescent="0.25">
      <c r="A9" s="20" t="s">
        <v>3</v>
      </c>
      <c r="B9" s="122">
        <f t="shared" si="0"/>
        <v>-0.2498239000422269</v>
      </c>
      <c r="C9" s="49">
        <v>-71030.284936204815</v>
      </c>
      <c r="D9" s="1">
        <v>-69394.552449446724</v>
      </c>
      <c r="E9" s="105">
        <v>123207.73499999999</v>
      </c>
      <c r="F9" s="1">
        <v>164238.41682897558</v>
      </c>
      <c r="G9" s="1">
        <v>104984.605</v>
      </c>
      <c r="H9" s="1">
        <v>168827.51999999999</v>
      </c>
      <c r="I9" s="1">
        <v>149737.53320000001</v>
      </c>
      <c r="J9" s="1">
        <v>156011</v>
      </c>
      <c r="K9" s="1">
        <v>206496</v>
      </c>
      <c r="L9" s="1">
        <v>43211</v>
      </c>
      <c r="M9" s="79">
        <v>203673</v>
      </c>
      <c r="N9" s="79">
        <v>186422</v>
      </c>
      <c r="O9" s="79">
        <v>191259</v>
      </c>
      <c r="P9" s="79">
        <v>160554</v>
      </c>
      <c r="Q9" s="79">
        <v>120146</v>
      </c>
      <c r="R9" s="79">
        <v>156794.84371731814</v>
      </c>
      <c r="S9" s="79">
        <v>147935.73262872887</v>
      </c>
      <c r="T9" s="79">
        <v>150762.03</v>
      </c>
      <c r="U9" s="79">
        <v>188867.1</v>
      </c>
      <c r="V9" s="1">
        <v>108952</v>
      </c>
      <c r="W9" s="28">
        <v>117945</v>
      </c>
    </row>
    <row r="10" spans="1:23" x14ac:dyDescent="0.25">
      <c r="A10" s="20" t="s">
        <v>17</v>
      </c>
      <c r="B10" s="122">
        <f t="shared" si="0"/>
        <v>1.234924204608709</v>
      </c>
      <c r="C10" s="49">
        <v>-18258.901002895484</v>
      </c>
      <c r="D10" s="1">
        <v>-8813.6530530340697</v>
      </c>
      <c r="E10" s="105">
        <v>20998.655000000002</v>
      </c>
      <c r="F10" s="1">
        <v>9395.69</v>
      </c>
      <c r="G10" s="1">
        <v>10434.5</v>
      </c>
      <c r="H10" s="1">
        <v>8463.6219999999994</v>
      </c>
      <c r="I10" s="1">
        <v>19734.580000000002</v>
      </c>
      <c r="J10" s="1">
        <v>10003</v>
      </c>
      <c r="K10" s="1">
        <v>17631</v>
      </c>
      <c r="L10" s="1">
        <v>12616.9</v>
      </c>
      <c r="M10" s="79">
        <v>7997</v>
      </c>
      <c r="N10" s="79">
        <v>17546</v>
      </c>
      <c r="O10" s="79">
        <v>10712</v>
      </c>
      <c r="P10" s="79">
        <v>10134</v>
      </c>
      <c r="Q10" s="79">
        <v>883</v>
      </c>
      <c r="R10" s="79">
        <v>6667.8219622055394</v>
      </c>
      <c r="S10" s="79">
        <v>4118.0069714267438</v>
      </c>
      <c r="T10" s="79">
        <v>2308.11</v>
      </c>
      <c r="U10" s="79">
        <v>2778</v>
      </c>
      <c r="V10" s="1">
        <v>57</v>
      </c>
      <c r="W10" s="28">
        <v>246</v>
      </c>
    </row>
    <row r="11" spans="1:23" x14ac:dyDescent="0.25">
      <c r="A11" s="20" t="s">
        <v>10</v>
      </c>
      <c r="B11" s="122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/>
      <c r="K11" s="1">
        <v>40</v>
      </c>
      <c r="L11" s="1">
        <v>248</v>
      </c>
      <c r="M11" s="79">
        <v>258</v>
      </c>
      <c r="N11" s="79">
        <v>420</v>
      </c>
      <c r="O11" s="79">
        <v>301</v>
      </c>
      <c r="P11" s="79">
        <v>1783</v>
      </c>
      <c r="Q11" s="79">
        <v>895</v>
      </c>
      <c r="R11" s="79">
        <v>1306.824747605488</v>
      </c>
      <c r="S11" s="79">
        <v>214.03989382964775</v>
      </c>
      <c r="T11" s="79">
        <v>1855.07</v>
      </c>
      <c r="U11" s="79">
        <v>2142</v>
      </c>
      <c r="V11" s="1">
        <v>1367</v>
      </c>
      <c r="W11" s="28">
        <v>1689</v>
      </c>
    </row>
    <row r="12" spans="1:23" x14ac:dyDescent="0.25">
      <c r="A12" s="20" t="s">
        <v>27</v>
      </c>
      <c r="B12" s="122">
        <f t="shared" si="0"/>
        <v>7.6335877862595417E-3</v>
      </c>
      <c r="C12" s="49">
        <v>-275</v>
      </c>
      <c r="D12" s="1">
        <v>-383</v>
      </c>
      <c r="E12" s="105">
        <v>792</v>
      </c>
      <c r="F12" s="1">
        <v>786</v>
      </c>
      <c r="G12" s="1">
        <v>1190.7</v>
      </c>
      <c r="H12" s="1">
        <v>3182.6</v>
      </c>
      <c r="I12" s="1">
        <v>1419.8</v>
      </c>
      <c r="J12" s="1">
        <v>2917</v>
      </c>
      <c r="K12" s="1">
        <v>4180</v>
      </c>
      <c r="L12" s="1">
        <v>1981</v>
      </c>
      <c r="M12" s="79">
        <v>2783</v>
      </c>
      <c r="N12" s="79">
        <v>5852</v>
      </c>
      <c r="O12" s="79">
        <v>5174</v>
      </c>
      <c r="P12" s="79">
        <v>7910</v>
      </c>
      <c r="Q12" s="79">
        <v>3745</v>
      </c>
      <c r="R12" s="79">
        <v>6930.1921615324873</v>
      </c>
      <c r="S12" s="79">
        <v>1405.8301007872169</v>
      </c>
      <c r="T12" s="79">
        <v>7683.94</v>
      </c>
      <c r="U12" s="79">
        <v>8221</v>
      </c>
      <c r="V12" s="1">
        <v>5758</v>
      </c>
      <c r="W12" s="28">
        <v>4555</v>
      </c>
    </row>
    <row r="13" spans="1:23" x14ac:dyDescent="0.25">
      <c r="A13" s="20" t="s">
        <v>51</v>
      </c>
      <c r="B13" s="122" t="str">
        <f t="shared" si="0"/>
        <v/>
      </c>
      <c r="C13" s="49">
        <v>0</v>
      </c>
      <c r="D13" s="1">
        <v>0</v>
      </c>
      <c r="E13" s="105"/>
      <c r="F13" s="1"/>
      <c r="G13" s="1"/>
      <c r="H13" s="1"/>
      <c r="I13" s="1"/>
      <c r="J13" s="1"/>
      <c r="K13" s="1">
        <v>0</v>
      </c>
      <c r="L13" s="1">
        <v>0</v>
      </c>
      <c r="M13" s="79">
        <v>0</v>
      </c>
      <c r="N13" s="79">
        <v>0</v>
      </c>
      <c r="O13" s="79">
        <v>0</v>
      </c>
      <c r="P13" s="79"/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1">
        <v>0</v>
      </c>
      <c r="W13" s="28">
        <v>0</v>
      </c>
    </row>
    <row r="14" spans="1:23" x14ac:dyDescent="0.25">
      <c r="A14" s="20" t="s">
        <v>107</v>
      </c>
      <c r="B14" s="122">
        <f t="shared" si="0"/>
        <v>-0.18404221884657682</v>
      </c>
      <c r="C14" s="49">
        <v>-1655.4511428571425</v>
      </c>
      <c r="D14" s="1">
        <v>-1285.3047000000001</v>
      </c>
      <c r="E14" s="105">
        <v>1557.7450000000001</v>
      </c>
      <c r="F14" s="1">
        <v>1909.1</v>
      </c>
      <c r="G14" s="1">
        <v>1397.145</v>
      </c>
      <c r="H14" s="1">
        <v>2713.8359999999998</v>
      </c>
      <c r="I14" s="1">
        <v>3729.6439999999998</v>
      </c>
      <c r="J14" s="1">
        <v>1217</v>
      </c>
      <c r="K14" s="1">
        <v>4657</v>
      </c>
      <c r="L14" s="1">
        <v>42.9</v>
      </c>
      <c r="M14" s="79">
        <v>3203</v>
      </c>
      <c r="N14" s="79">
        <v>4487</v>
      </c>
      <c r="O14" s="79">
        <v>4694</v>
      </c>
      <c r="P14" s="79">
        <v>4576</v>
      </c>
      <c r="Q14" s="79">
        <v>2699</v>
      </c>
      <c r="R14" s="79">
        <v>1878.8118871343515</v>
      </c>
      <c r="S14" s="79">
        <v>3914.0158989036527</v>
      </c>
      <c r="T14" s="79">
        <v>1304.4100000000001</v>
      </c>
      <c r="U14" s="79">
        <v>6638</v>
      </c>
      <c r="V14" s="1">
        <v>697</v>
      </c>
      <c r="W14" s="28">
        <v>2131</v>
      </c>
    </row>
    <row r="15" spans="1:23" x14ac:dyDescent="0.25">
      <c r="A15" s="20" t="s">
        <v>13</v>
      </c>
      <c r="B15" s="122">
        <f t="shared" si="0"/>
        <v>3.4503610556856086E-2</v>
      </c>
      <c r="C15" s="49">
        <v>-8962.4619999999995</v>
      </c>
      <c r="D15" s="1">
        <v>-7660.57</v>
      </c>
      <c r="E15" s="105">
        <v>12697.218000000001</v>
      </c>
      <c r="F15" s="1">
        <v>12273.73</v>
      </c>
      <c r="G15" s="1">
        <v>11879</v>
      </c>
      <c r="H15" s="1">
        <v>16424</v>
      </c>
      <c r="I15" s="1">
        <v>14403.417799999999</v>
      </c>
      <c r="J15" s="1">
        <v>5096</v>
      </c>
      <c r="K15" s="1">
        <v>10644</v>
      </c>
      <c r="L15" s="1"/>
      <c r="M15" s="79"/>
      <c r="N15" s="79"/>
      <c r="O15" s="79"/>
      <c r="P15" s="79"/>
      <c r="Q15" s="79"/>
      <c r="R15" s="79"/>
      <c r="S15" s="79"/>
      <c r="T15" s="79"/>
      <c r="U15" s="79"/>
      <c r="V15" s="1"/>
      <c r="W15" s="28"/>
    </row>
    <row r="16" spans="1:23" x14ac:dyDescent="0.25">
      <c r="A16" s="20" t="s">
        <v>19</v>
      </c>
      <c r="B16" s="122">
        <f t="shared" si="0"/>
        <v>0.43336455444508543</v>
      </c>
      <c r="C16" s="49">
        <v>-16064.413956063932</v>
      </c>
      <c r="D16" s="1">
        <v>-11130.857795763994</v>
      </c>
      <c r="E16" s="105">
        <v>5478.6060000000052</v>
      </c>
      <c r="F16" s="1">
        <v>3822.2</v>
      </c>
      <c r="G16" s="1">
        <v>8932.23</v>
      </c>
      <c r="H16" s="1">
        <v>11083.302</v>
      </c>
      <c r="I16" s="1">
        <v>17014.611000000001</v>
      </c>
      <c r="J16" s="1">
        <v>12343</v>
      </c>
      <c r="K16" s="1">
        <v>17044</v>
      </c>
      <c r="L16" s="1">
        <v>5838.0999999999995</v>
      </c>
      <c r="M16" s="79">
        <v>22874</v>
      </c>
      <c r="N16" s="79">
        <v>16704</v>
      </c>
      <c r="O16" s="79">
        <v>12873</v>
      </c>
      <c r="P16" s="79">
        <v>16153</v>
      </c>
      <c r="Q16" s="79">
        <v>3631</v>
      </c>
      <c r="R16" s="79">
        <v>5219.2569919751486</v>
      </c>
      <c r="S16" s="79">
        <v>5678.588920334927</v>
      </c>
      <c r="T16" s="79">
        <v>10603.81</v>
      </c>
      <c r="U16" s="79">
        <v>7461.7</v>
      </c>
      <c r="V16" s="1">
        <v>1606</v>
      </c>
      <c r="W16" s="28">
        <v>10459</v>
      </c>
    </row>
    <row r="17" spans="1:23" x14ac:dyDescent="0.25">
      <c r="A17" s="20" t="s">
        <v>108</v>
      </c>
      <c r="B17" s="122">
        <f t="shared" si="0"/>
        <v>114.85993999999999</v>
      </c>
      <c r="C17" s="49">
        <v>-3172.5439999999999</v>
      </c>
      <c r="D17" s="1">
        <v>-1450</v>
      </c>
      <c r="E17" s="105">
        <v>5792.9969999999994</v>
      </c>
      <c r="F17" s="1">
        <v>50</v>
      </c>
      <c r="G17" s="1">
        <v>5855</v>
      </c>
      <c r="H17" s="1"/>
      <c r="I17" s="1">
        <v>5157.6486999999997</v>
      </c>
      <c r="J17" s="1">
        <v>299</v>
      </c>
      <c r="K17" s="1">
        <v>4450</v>
      </c>
      <c r="L17" s="1">
        <v>0</v>
      </c>
      <c r="M17" s="79">
        <v>2725</v>
      </c>
      <c r="N17" s="79">
        <v>2541</v>
      </c>
      <c r="O17" s="79">
        <v>2057</v>
      </c>
      <c r="P17" s="79">
        <v>1413</v>
      </c>
      <c r="Q17" s="79">
        <v>69</v>
      </c>
      <c r="R17" s="79">
        <v>968.05556303391143</v>
      </c>
      <c r="S17" s="79">
        <v>0</v>
      </c>
      <c r="T17" s="79">
        <v>841</v>
      </c>
      <c r="U17" s="79">
        <v>0</v>
      </c>
      <c r="V17" s="1">
        <v>0</v>
      </c>
      <c r="W17" s="28">
        <v>0</v>
      </c>
    </row>
    <row r="18" spans="1:23" x14ac:dyDescent="0.25">
      <c r="A18" s="20" t="s">
        <v>21</v>
      </c>
      <c r="B18" s="122" t="str">
        <f t="shared" si="0"/>
        <v/>
      </c>
      <c r="C18" s="49">
        <v>0</v>
      </c>
      <c r="D18" s="1">
        <v>0</v>
      </c>
      <c r="E18" s="105"/>
      <c r="F18" s="1"/>
      <c r="G18" s="1"/>
      <c r="H18" s="1"/>
      <c r="I18" s="1"/>
      <c r="J18" s="1"/>
      <c r="K18" s="1">
        <v>300</v>
      </c>
      <c r="L18" s="1">
        <v>9</v>
      </c>
      <c r="M18" s="79">
        <v>1179</v>
      </c>
      <c r="N18" s="79">
        <v>2813</v>
      </c>
      <c r="O18" s="79">
        <v>1884</v>
      </c>
      <c r="P18" s="79">
        <v>1796</v>
      </c>
      <c r="Q18" s="79"/>
      <c r="R18" s="79">
        <v>1708.924669945638</v>
      </c>
      <c r="S18" s="79">
        <v>2090.1548317636962</v>
      </c>
      <c r="T18" s="79">
        <v>279.79000000000002</v>
      </c>
      <c r="U18" s="79">
        <v>1268</v>
      </c>
      <c r="V18" s="1">
        <v>0</v>
      </c>
      <c r="W18" s="28">
        <v>1173</v>
      </c>
    </row>
    <row r="19" spans="1:23" ht="13.8" thickBot="1" x14ac:dyDescent="0.3">
      <c r="A19" s="22" t="s">
        <v>60</v>
      </c>
      <c r="B19" s="122">
        <f t="shared" si="0"/>
        <v>4.2645911320461978E-2</v>
      </c>
      <c r="C19" s="50">
        <v>-37433.201013448808</v>
      </c>
      <c r="D19" s="10">
        <v>-34069.413545533404</v>
      </c>
      <c r="E19" s="106">
        <f>8335+43095.647</f>
        <v>51430.646999999997</v>
      </c>
      <c r="F19" s="10">
        <v>49327.05</v>
      </c>
      <c r="G19" s="10">
        <v>30145.1</v>
      </c>
      <c r="H19" s="10">
        <v>20529</v>
      </c>
      <c r="I19" s="10">
        <f>2375+5383</f>
        <v>7758</v>
      </c>
      <c r="J19" s="10">
        <f>751+960</f>
        <v>1711</v>
      </c>
      <c r="K19" s="10">
        <v>10306</v>
      </c>
      <c r="L19" s="10">
        <v>659</v>
      </c>
      <c r="M19" s="80">
        <v>9767</v>
      </c>
      <c r="N19" s="80">
        <v>3032</v>
      </c>
      <c r="O19" s="80">
        <v>4308</v>
      </c>
      <c r="P19" s="80">
        <v>3801</v>
      </c>
      <c r="Q19" s="80">
        <v>320</v>
      </c>
      <c r="R19" s="80">
        <v>2112.0298420916388</v>
      </c>
      <c r="S19" s="80">
        <v>6961.8234011821578</v>
      </c>
      <c r="T19" s="80">
        <v>3515</v>
      </c>
      <c r="U19" s="80">
        <v>873</v>
      </c>
      <c r="V19" s="10">
        <v>197</v>
      </c>
      <c r="W19" s="30">
        <v>106</v>
      </c>
    </row>
    <row r="20" spans="1:23" ht="13.8" thickBot="1" x14ac:dyDescent="0.3">
      <c r="A20" s="31" t="s">
        <v>23</v>
      </c>
      <c r="B20" s="114">
        <f t="shared" si="0"/>
        <v>-6.9547751477828476E-2</v>
      </c>
      <c r="C20" s="123">
        <v>-198281.34123252818</v>
      </c>
      <c r="D20" s="33">
        <v>-178199.9587866111</v>
      </c>
      <c r="E20" s="97">
        <f t="shared" ref="E20" si="1">SUM(E2:E19)</f>
        <v>250404.09116116722</v>
      </c>
      <c r="F20" s="33">
        <f t="shared" ref="F20:K20" si="2">SUM(F2:F19)</f>
        <v>269120.84049329953</v>
      </c>
      <c r="G20" s="33">
        <f t="shared" si="2"/>
        <v>199633.00500000003</v>
      </c>
      <c r="H20" s="33">
        <f t="shared" si="2"/>
        <v>261291.58900000001</v>
      </c>
      <c r="I20" s="33">
        <f t="shared" si="2"/>
        <v>244699.21709999998</v>
      </c>
      <c r="J20" s="33">
        <f t="shared" si="2"/>
        <v>206588</v>
      </c>
      <c r="K20" s="33">
        <f t="shared" si="2"/>
        <v>305460</v>
      </c>
      <c r="L20" s="33">
        <f t="shared" ref="L20:Q20" si="3">SUM(L2:L19)</f>
        <v>68698.400000000009</v>
      </c>
      <c r="M20" s="33">
        <f t="shared" si="3"/>
        <v>270262</v>
      </c>
      <c r="N20" s="33">
        <f t="shared" si="3"/>
        <v>261969</v>
      </c>
      <c r="O20" s="33">
        <f t="shared" si="3"/>
        <v>257594</v>
      </c>
      <c r="P20" s="33">
        <f t="shared" si="3"/>
        <v>236941</v>
      </c>
      <c r="Q20" s="33">
        <f t="shared" si="3"/>
        <v>136070</v>
      </c>
      <c r="R20" s="33">
        <f t="shared" ref="R20:W20" si="4">SUM(R2:R19)</f>
        <v>194164.00000000003</v>
      </c>
      <c r="S20" s="33">
        <f t="shared" si="4"/>
        <v>188539.00000000003</v>
      </c>
      <c r="T20" s="33">
        <f t="shared" si="4"/>
        <v>196811.96</v>
      </c>
      <c r="U20" s="33">
        <f t="shared" si="4"/>
        <v>224900.40000000002</v>
      </c>
      <c r="V20" s="33">
        <f t="shared" si="4"/>
        <v>123320</v>
      </c>
      <c r="W20" s="34">
        <f t="shared" si="4"/>
        <v>140692</v>
      </c>
    </row>
    <row r="21" spans="1:23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23" ht="13.8" thickBot="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23" ht="13.8" thickBot="1" x14ac:dyDescent="0.3">
      <c r="A23" s="23" t="s">
        <v>25</v>
      </c>
      <c r="B23" s="118" t="s">
        <v>171</v>
      </c>
      <c r="C23" s="48" t="s">
        <v>172</v>
      </c>
      <c r="D23" s="78" t="s">
        <v>169</v>
      </c>
      <c r="E23" s="104">
        <v>45809</v>
      </c>
      <c r="F23" s="110">
        <v>45444</v>
      </c>
      <c r="G23" s="110">
        <v>45078</v>
      </c>
      <c r="H23" s="110">
        <v>44713</v>
      </c>
      <c r="I23" s="110">
        <v>44348</v>
      </c>
      <c r="J23" s="110">
        <v>43983</v>
      </c>
      <c r="K23" s="110">
        <v>43617</v>
      </c>
      <c r="L23" s="110">
        <v>43252</v>
      </c>
      <c r="M23" s="24">
        <v>42887</v>
      </c>
      <c r="N23" s="24">
        <v>42522</v>
      </c>
      <c r="O23" s="24">
        <v>42156</v>
      </c>
      <c r="P23" s="24">
        <v>41791</v>
      </c>
      <c r="Q23" s="24">
        <v>41426</v>
      </c>
      <c r="R23" s="24">
        <v>41061</v>
      </c>
      <c r="S23" s="24">
        <v>40695</v>
      </c>
      <c r="T23" s="24">
        <v>40330</v>
      </c>
      <c r="U23" s="24">
        <v>39965</v>
      </c>
      <c r="V23" s="24">
        <v>39600</v>
      </c>
      <c r="W23" s="25">
        <v>39234</v>
      </c>
    </row>
    <row r="24" spans="1:23" x14ac:dyDescent="0.25">
      <c r="A24" s="20" t="s">
        <v>105</v>
      </c>
      <c r="B24" s="26" t="str">
        <f t="shared" ref="B24:B29" si="5">IFERROR(((E24-F24)/F24),"")</f>
        <v/>
      </c>
      <c r="C24" s="49"/>
      <c r="D24" s="1">
        <v>0</v>
      </c>
      <c r="E24" s="105"/>
      <c r="F24" s="1"/>
      <c r="G24" s="1">
        <v>0</v>
      </c>
      <c r="H24" s="1">
        <v>0</v>
      </c>
      <c r="I24" s="1">
        <v>17.267623471981821</v>
      </c>
      <c r="J24" s="1">
        <v>0</v>
      </c>
      <c r="K24" s="1">
        <v>0</v>
      </c>
      <c r="L24" s="1">
        <v>1652.8426879974199</v>
      </c>
      <c r="M24" s="1">
        <v>0</v>
      </c>
      <c r="N24" s="1">
        <v>54.162592707646056</v>
      </c>
      <c r="O24" s="1">
        <v>0</v>
      </c>
      <c r="P24" s="1">
        <v>0</v>
      </c>
      <c r="Q24" s="1"/>
      <c r="R24" s="1"/>
      <c r="S24" s="1"/>
      <c r="T24" s="1"/>
      <c r="U24" s="1"/>
      <c r="V24" s="1"/>
      <c r="W24" s="28"/>
    </row>
    <row r="25" spans="1:23" x14ac:dyDescent="0.25">
      <c r="A25" s="20" t="s">
        <v>7</v>
      </c>
      <c r="B25" s="26" t="str">
        <f t="shared" si="5"/>
        <v/>
      </c>
      <c r="C25" s="49"/>
      <c r="D25" s="1">
        <v>0</v>
      </c>
      <c r="E25" s="105"/>
      <c r="F25" s="1"/>
      <c r="G25" s="1">
        <v>0</v>
      </c>
      <c r="H25" s="1">
        <v>0</v>
      </c>
      <c r="I25" s="1">
        <v>1423.509271709275</v>
      </c>
      <c r="J25" s="1">
        <v>0</v>
      </c>
      <c r="K25" s="1">
        <v>0</v>
      </c>
      <c r="L25" s="1">
        <v>2037.7809362306027</v>
      </c>
      <c r="M25" s="1">
        <v>0</v>
      </c>
      <c r="N25" s="1">
        <v>4632.7115046463459</v>
      </c>
      <c r="O25" s="1">
        <v>402</v>
      </c>
      <c r="P25" s="1">
        <v>6010</v>
      </c>
      <c r="Q25" s="1"/>
      <c r="R25" s="1"/>
      <c r="S25" s="1"/>
      <c r="T25" s="1"/>
      <c r="U25" s="1"/>
      <c r="V25" s="1"/>
      <c r="W25" s="28"/>
    </row>
    <row r="26" spans="1:23" x14ac:dyDescent="0.25">
      <c r="A26" s="20" t="s">
        <v>106</v>
      </c>
      <c r="B26" s="26" t="str">
        <f t="shared" si="5"/>
        <v/>
      </c>
      <c r="C26" s="49"/>
      <c r="D26" s="1">
        <v>0</v>
      </c>
      <c r="E26" s="105"/>
      <c r="F26" s="1"/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/>
      <c r="R26" s="1"/>
      <c r="S26" s="1"/>
      <c r="T26" s="1"/>
      <c r="U26" s="1"/>
      <c r="V26" s="1"/>
      <c r="W26" s="28"/>
    </row>
    <row r="27" spans="1:23" x14ac:dyDescent="0.25">
      <c r="A27" s="20" t="s">
        <v>30</v>
      </c>
      <c r="B27" s="26" t="str">
        <f t="shared" si="5"/>
        <v/>
      </c>
      <c r="C27" s="49"/>
      <c r="D27" s="1">
        <v>0</v>
      </c>
      <c r="E27" s="105"/>
      <c r="F27" s="1"/>
      <c r="G27" s="1">
        <v>0</v>
      </c>
      <c r="H27" s="1">
        <v>0</v>
      </c>
      <c r="I27" s="1">
        <v>144.93385136209295</v>
      </c>
      <c r="J27" s="1">
        <v>0</v>
      </c>
      <c r="K27" s="1">
        <v>0</v>
      </c>
      <c r="L27" s="1">
        <v>873.41978881612681</v>
      </c>
      <c r="M27" s="1">
        <v>0</v>
      </c>
      <c r="N27" s="1">
        <v>4.25</v>
      </c>
      <c r="O27" s="1">
        <v>0</v>
      </c>
      <c r="P27" s="1">
        <v>610</v>
      </c>
      <c r="Q27" s="1"/>
      <c r="R27" s="1"/>
      <c r="S27" s="1"/>
      <c r="T27" s="1"/>
      <c r="U27" s="1"/>
      <c r="V27" s="1"/>
      <c r="W27" s="28"/>
    </row>
    <row r="28" spans="1:23" ht="13.8" thickBot="1" x14ac:dyDescent="0.3">
      <c r="A28" s="29" t="s">
        <v>60</v>
      </c>
      <c r="B28" s="27" t="str">
        <f t="shared" si="5"/>
        <v/>
      </c>
      <c r="C28" s="50"/>
      <c r="D28" s="10">
        <v>0</v>
      </c>
      <c r="E28" s="106"/>
      <c r="F28" s="10"/>
      <c r="G28" s="10">
        <v>0</v>
      </c>
      <c r="H28" s="10">
        <v>0</v>
      </c>
      <c r="I28" s="10">
        <v>600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/>
      <c r="R28" s="10"/>
      <c r="S28" s="10"/>
      <c r="T28" s="10"/>
      <c r="U28" s="10"/>
      <c r="V28" s="10"/>
      <c r="W28" s="30"/>
    </row>
    <row r="29" spans="1:23" ht="13.8" thickBot="1" x14ac:dyDescent="0.3">
      <c r="A29" s="31" t="s">
        <v>23</v>
      </c>
      <c r="B29" s="32" t="str">
        <f t="shared" si="5"/>
        <v/>
      </c>
      <c r="C29" s="123"/>
      <c r="D29" s="33">
        <v>0</v>
      </c>
      <c r="E29" s="97">
        <f>SUM(E24:E28)</f>
        <v>0</v>
      </c>
      <c r="F29" s="33">
        <v>0</v>
      </c>
      <c r="G29" s="33">
        <v>0</v>
      </c>
      <c r="H29" s="33">
        <v>0</v>
      </c>
      <c r="I29" s="33">
        <f>SUM(I24:I28)</f>
        <v>2185.7107465433501</v>
      </c>
      <c r="J29" s="33">
        <v>0</v>
      </c>
      <c r="K29" s="33">
        <v>0</v>
      </c>
      <c r="L29" s="33">
        <f>SUM(L24:L28)</f>
        <v>4564.0434130441499</v>
      </c>
      <c r="M29" s="33">
        <v>0</v>
      </c>
      <c r="N29" s="33">
        <f>SUM(N24:N28)</f>
        <v>4691.1240973539916</v>
      </c>
      <c r="O29" s="33">
        <f>SUM(O24:O28)</f>
        <v>402</v>
      </c>
      <c r="P29" s="33">
        <f>SUM(P24:P28)</f>
        <v>6620</v>
      </c>
      <c r="Q29" s="33">
        <v>0</v>
      </c>
      <c r="R29" s="33">
        <v>0</v>
      </c>
      <c r="S29" s="33">
        <v>0</v>
      </c>
      <c r="T29" s="33">
        <f>SUM(T24:T28)</f>
        <v>0</v>
      </c>
      <c r="U29" s="33">
        <f>SUM(U24:U28)</f>
        <v>0</v>
      </c>
      <c r="V29" s="33">
        <f>SUM(V24:V28)</f>
        <v>0</v>
      </c>
      <c r="W29" s="34">
        <f>SUM(W24:W28)</f>
        <v>0</v>
      </c>
    </row>
    <row r="30" spans="1:23" x14ac:dyDescent="0.25">
      <c r="B30" s="51" t="s">
        <v>168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13" priority="2">
      <formula>ISBLANK(XFD1)=FALSE</formula>
    </cfRule>
  </conditionalFormatting>
  <conditionalFormatting sqref="E23">
    <cfRule type="expression" dxfId="12" priority="1">
      <formula>ISBLANK(XFD23)=FALSE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39" t="s">
        <v>4</v>
      </c>
      <c r="B2" s="122" t="str">
        <f t="shared" ref="B2:B18" si="0">IFERROR(((E2-F2)/F2),"")</f>
        <v/>
      </c>
      <c r="C2" s="49">
        <v>0</v>
      </c>
      <c r="D2" s="1">
        <v>0</v>
      </c>
      <c r="E2" s="105"/>
      <c r="F2" s="1"/>
      <c r="G2" s="1"/>
      <c r="H2" s="1"/>
      <c r="I2" s="1"/>
      <c r="J2" s="1"/>
      <c r="K2" s="1"/>
      <c r="L2" s="1">
        <v>0</v>
      </c>
      <c r="M2" s="1"/>
      <c r="N2" s="1"/>
      <c r="O2" s="1"/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39" t="s">
        <v>33</v>
      </c>
      <c r="B3" s="122" t="str">
        <f t="shared" si="0"/>
        <v/>
      </c>
      <c r="C3" s="49">
        <v>0</v>
      </c>
      <c r="D3" s="1">
        <v>0</v>
      </c>
      <c r="E3" s="105"/>
      <c r="F3" s="1"/>
      <c r="G3" s="1"/>
      <c r="H3" s="1"/>
      <c r="I3" s="1"/>
      <c r="J3" s="1"/>
      <c r="K3" s="1"/>
      <c r="L3" s="1">
        <v>0</v>
      </c>
      <c r="M3" s="1"/>
      <c r="N3" s="1"/>
      <c r="O3" s="1"/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28">
        <v>1000</v>
      </c>
    </row>
    <row r="4" spans="1:23" x14ac:dyDescent="0.25">
      <c r="A4" s="20" t="s">
        <v>2</v>
      </c>
      <c r="B4" s="122" t="str">
        <f t="shared" si="0"/>
        <v/>
      </c>
      <c r="C4" s="49">
        <v>0</v>
      </c>
      <c r="D4" s="1">
        <v>0</v>
      </c>
      <c r="E4" s="105"/>
      <c r="F4" s="1"/>
      <c r="G4" s="1"/>
      <c r="H4" s="1"/>
      <c r="I4" s="1"/>
      <c r="J4" s="1"/>
      <c r="K4" s="1"/>
      <c r="L4" s="1">
        <v>0</v>
      </c>
      <c r="M4" s="1"/>
      <c r="N4" s="1"/>
      <c r="O4" s="1"/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28">
        <v>0</v>
      </c>
    </row>
    <row r="5" spans="1:23" x14ac:dyDescent="0.25">
      <c r="A5" s="20" t="s">
        <v>9</v>
      </c>
      <c r="B5" s="122">
        <f t="shared" si="0"/>
        <v>-1</v>
      </c>
      <c r="C5" s="49">
        <v>-2000</v>
      </c>
      <c r="D5" s="1">
        <v>-8000</v>
      </c>
      <c r="E5" s="105">
        <v>0</v>
      </c>
      <c r="F5" s="1">
        <v>2000</v>
      </c>
      <c r="G5" s="1">
        <v>2000</v>
      </c>
      <c r="H5" s="1">
        <v>5000</v>
      </c>
      <c r="I5" s="1">
        <v>1000</v>
      </c>
      <c r="J5" s="1">
        <v>1000</v>
      </c>
      <c r="K5" s="1">
        <v>1000</v>
      </c>
      <c r="L5" s="1">
        <v>2000</v>
      </c>
      <c r="M5" s="1">
        <v>2000</v>
      </c>
      <c r="N5" s="1">
        <v>2000</v>
      </c>
      <c r="O5" s="1">
        <v>2000</v>
      </c>
      <c r="P5" s="1">
        <v>5000</v>
      </c>
      <c r="Q5" s="1">
        <v>0</v>
      </c>
      <c r="R5" s="1">
        <v>0</v>
      </c>
      <c r="S5" s="1">
        <v>1000</v>
      </c>
      <c r="T5" s="1">
        <v>10000</v>
      </c>
      <c r="U5" s="1">
        <v>1000</v>
      </c>
      <c r="V5" s="1">
        <v>0</v>
      </c>
      <c r="W5" s="28">
        <v>2000</v>
      </c>
    </row>
    <row r="6" spans="1:23" x14ac:dyDescent="0.25">
      <c r="A6" s="20" t="s">
        <v>14</v>
      </c>
      <c r="B6" s="122">
        <f t="shared" si="0"/>
        <v>0</v>
      </c>
      <c r="C6" s="49">
        <v>-3000</v>
      </c>
      <c r="D6" s="1">
        <v>-3000</v>
      </c>
      <c r="E6" s="105">
        <v>1000</v>
      </c>
      <c r="F6" s="1">
        <v>1000</v>
      </c>
      <c r="G6" s="1">
        <v>2000</v>
      </c>
      <c r="H6" s="1">
        <v>3000</v>
      </c>
      <c r="I6" s="1">
        <v>20000</v>
      </c>
      <c r="J6" s="1">
        <v>8000</v>
      </c>
      <c r="K6" s="1">
        <v>15000</v>
      </c>
      <c r="L6" s="1">
        <v>12000</v>
      </c>
      <c r="M6" s="1">
        <v>12000</v>
      </c>
      <c r="N6" s="1">
        <v>10000</v>
      </c>
      <c r="O6" s="1">
        <v>5000</v>
      </c>
      <c r="P6" s="1">
        <v>5000</v>
      </c>
      <c r="Q6" s="1">
        <v>5000</v>
      </c>
      <c r="R6" s="1">
        <v>5000</v>
      </c>
      <c r="S6" s="1">
        <v>0</v>
      </c>
      <c r="T6" s="1">
        <v>0</v>
      </c>
      <c r="U6" s="1">
        <v>0</v>
      </c>
      <c r="V6" s="1">
        <v>0</v>
      </c>
      <c r="W6" s="28">
        <v>2000</v>
      </c>
    </row>
    <row r="7" spans="1:23" x14ac:dyDescent="0.25">
      <c r="A7" s="20" t="s">
        <v>3</v>
      </c>
      <c r="B7" s="122">
        <f t="shared" si="0"/>
        <v>-0.46666666666666667</v>
      </c>
      <c r="C7" s="49">
        <v>-35000</v>
      </c>
      <c r="D7" s="1">
        <v>-50000</v>
      </c>
      <c r="E7" s="105">
        <v>40000</v>
      </c>
      <c r="F7" s="1">
        <v>75000</v>
      </c>
      <c r="G7" s="1">
        <v>35000</v>
      </c>
      <c r="H7" s="1">
        <v>50000</v>
      </c>
      <c r="I7" s="1">
        <v>35000</v>
      </c>
      <c r="J7" s="1">
        <v>12000</v>
      </c>
      <c r="K7" s="1">
        <v>30000</v>
      </c>
      <c r="L7" s="1">
        <v>20000</v>
      </c>
      <c r="M7" s="79">
        <v>23000</v>
      </c>
      <c r="N7" s="79">
        <v>25000</v>
      </c>
      <c r="O7" s="79">
        <v>20000</v>
      </c>
      <c r="P7" s="79">
        <v>25000</v>
      </c>
      <c r="Q7" s="79">
        <v>8000</v>
      </c>
      <c r="R7" s="79">
        <v>7000</v>
      </c>
      <c r="S7" s="79">
        <v>3000</v>
      </c>
      <c r="T7" s="79">
        <v>16000</v>
      </c>
      <c r="U7" s="79">
        <v>3000</v>
      </c>
      <c r="V7" s="1">
        <v>0</v>
      </c>
      <c r="W7" s="28">
        <v>8000</v>
      </c>
    </row>
    <row r="8" spans="1:23" x14ac:dyDescent="0.25">
      <c r="A8" s="20" t="s">
        <v>10</v>
      </c>
      <c r="B8" s="122">
        <f t="shared" si="0"/>
        <v>-0.2857142857142857</v>
      </c>
      <c r="C8" s="49">
        <v>-25000</v>
      </c>
      <c r="D8" s="1">
        <v>-20000</v>
      </c>
      <c r="E8" s="105">
        <v>25000</v>
      </c>
      <c r="F8" s="1">
        <v>35000</v>
      </c>
      <c r="G8" s="1">
        <v>50000</v>
      </c>
      <c r="H8" s="1">
        <v>60000</v>
      </c>
      <c r="I8" s="1">
        <v>75000</v>
      </c>
      <c r="J8" s="1">
        <v>15000</v>
      </c>
      <c r="K8" s="1">
        <v>80000</v>
      </c>
      <c r="L8" s="1">
        <v>40000</v>
      </c>
      <c r="M8" s="79">
        <v>60000</v>
      </c>
      <c r="N8" s="79">
        <v>60000</v>
      </c>
      <c r="O8" s="79">
        <v>40000</v>
      </c>
      <c r="P8" s="79">
        <v>40000</v>
      </c>
      <c r="Q8" s="79">
        <v>25000</v>
      </c>
      <c r="R8" s="79">
        <v>20000</v>
      </c>
      <c r="S8" s="79">
        <v>6000</v>
      </c>
      <c r="T8" s="79">
        <v>30000</v>
      </c>
      <c r="U8" s="79">
        <v>18000</v>
      </c>
      <c r="V8" s="1">
        <v>0</v>
      </c>
      <c r="W8" s="28">
        <v>12000</v>
      </c>
    </row>
    <row r="9" spans="1:23" x14ac:dyDescent="0.25">
      <c r="A9" s="20" t="s">
        <v>27</v>
      </c>
      <c r="B9" s="122">
        <f t="shared" si="0"/>
        <v>-0.75</v>
      </c>
      <c r="C9" s="49">
        <v>-5000</v>
      </c>
      <c r="D9" s="1">
        <v>-3000</v>
      </c>
      <c r="E9" s="105">
        <v>1000</v>
      </c>
      <c r="F9" s="1">
        <v>4000</v>
      </c>
      <c r="G9" s="1">
        <v>8000</v>
      </c>
      <c r="H9" s="1">
        <v>10000</v>
      </c>
      <c r="I9" s="1">
        <v>15000</v>
      </c>
      <c r="J9" s="1">
        <v>2000</v>
      </c>
      <c r="K9" s="1">
        <v>10000</v>
      </c>
      <c r="L9" s="1">
        <v>2000</v>
      </c>
      <c r="M9" s="79">
        <v>10000</v>
      </c>
      <c r="N9" s="79">
        <v>10000</v>
      </c>
      <c r="O9" s="79">
        <v>10000</v>
      </c>
      <c r="P9" s="79">
        <v>10000</v>
      </c>
      <c r="Q9" s="79">
        <v>6000</v>
      </c>
      <c r="R9" s="79">
        <v>8000</v>
      </c>
      <c r="S9" s="79">
        <v>2000</v>
      </c>
      <c r="T9" s="79">
        <v>3000</v>
      </c>
      <c r="U9" s="79">
        <v>200</v>
      </c>
      <c r="V9" s="1">
        <v>0</v>
      </c>
      <c r="W9" s="28">
        <v>0</v>
      </c>
    </row>
    <row r="10" spans="1:23" x14ac:dyDescent="0.25">
      <c r="A10" s="20" t="s">
        <v>156</v>
      </c>
      <c r="B10" s="122">
        <f t="shared" si="0"/>
        <v>-0.75</v>
      </c>
      <c r="C10" s="49">
        <v>-7000</v>
      </c>
      <c r="D10" s="1">
        <v>-6000</v>
      </c>
      <c r="E10" s="105">
        <v>1000</v>
      </c>
      <c r="F10" s="1">
        <v>4000</v>
      </c>
      <c r="G10" s="1">
        <v>6000</v>
      </c>
      <c r="H10" s="1">
        <v>10000</v>
      </c>
      <c r="I10" s="1">
        <v>10000</v>
      </c>
      <c r="J10" s="1">
        <v>0</v>
      </c>
      <c r="K10" s="1">
        <v>20000</v>
      </c>
      <c r="L10" s="1">
        <v>10000</v>
      </c>
      <c r="M10" s="79">
        <v>12000</v>
      </c>
      <c r="N10" s="79">
        <v>15000</v>
      </c>
      <c r="O10" s="79">
        <v>12000</v>
      </c>
      <c r="P10" s="79">
        <v>10000</v>
      </c>
      <c r="Q10" s="79">
        <v>7000</v>
      </c>
      <c r="R10" s="79">
        <v>10000</v>
      </c>
      <c r="S10" s="79">
        <v>0</v>
      </c>
      <c r="T10" s="79">
        <v>0</v>
      </c>
      <c r="U10" s="79">
        <v>0</v>
      </c>
      <c r="V10" s="1">
        <v>0</v>
      </c>
      <c r="W10" s="28">
        <v>0</v>
      </c>
    </row>
    <row r="11" spans="1:23" x14ac:dyDescent="0.25">
      <c r="A11" s="71" t="s">
        <v>34</v>
      </c>
      <c r="B11" s="122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/>
      <c r="K11" s="1"/>
      <c r="L11" s="1">
        <v>0</v>
      </c>
      <c r="M11" s="79"/>
      <c r="N11" s="79"/>
      <c r="O11" s="79"/>
      <c r="P11" s="79"/>
      <c r="Q11" s="79"/>
      <c r="R11" s="79"/>
      <c r="S11" s="79">
        <v>0</v>
      </c>
      <c r="T11" s="79">
        <v>6000</v>
      </c>
      <c r="U11" s="79">
        <v>1500</v>
      </c>
      <c r="V11" s="1">
        <v>0</v>
      </c>
      <c r="W11" s="28">
        <v>2000</v>
      </c>
    </row>
    <row r="12" spans="1:23" x14ac:dyDescent="0.25">
      <c r="A12" s="71" t="s">
        <v>13</v>
      </c>
      <c r="B12" s="122">
        <f t="shared" si="0"/>
        <v>-0.66666666666666663</v>
      </c>
      <c r="C12" s="49">
        <v>-1000</v>
      </c>
      <c r="D12" s="1">
        <v>-4000</v>
      </c>
      <c r="E12" s="105">
        <v>1000</v>
      </c>
      <c r="F12" s="1">
        <v>3000</v>
      </c>
      <c r="G12" s="1">
        <v>3000</v>
      </c>
      <c r="H12" s="1">
        <v>1000</v>
      </c>
      <c r="I12" s="1"/>
      <c r="J12" s="1"/>
      <c r="K12" s="1"/>
      <c r="L12" s="1">
        <v>0</v>
      </c>
      <c r="M12" s="79"/>
      <c r="N12" s="79"/>
      <c r="O12" s="79"/>
      <c r="P12" s="79"/>
      <c r="Q12" s="79"/>
      <c r="R12" s="79"/>
      <c r="S12" s="79">
        <v>0</v>
      </c>
      <c r="T12" s="79">
        <v>0</v>
      </c>
      <c r="U12" s="79">
        <v>0</v>
      </c>
      <c r="V12" s="1">
        <v>0</v>
      </c>
      <c r="W12" s="28">
        <v>0</v>
      </c>
    </row>
    <row r="13" spans="1:23" x14ac:dyDescent="0.25">
      <c r="A13" s="71" t="s">
        <v>19</v>
      </c>
      <c r="B13" s="122">
        <f t="shared" si="0"/>
        <v>-1</v>
      </c>
      <c r="C13" s="49">
        <v>-2000</v>
      </c>
      <c r="D13" s="1">
        <v>-3000</v>
      </c>
      <c r="E13" s="105">
        <v>0</v>
      </c>
      <c r="F13" s="1">
        <v>2000</v>
      </c>
      <c r="G13" s="1">
        <v>1000</v>
      </c>
      <c r="H13" s="1">
        <v>1000</v>
      </c>
      <c r="I13" s="1">
        <v>1000</v>
      </c>
      <c r="J13" s="1"/>
      <c r="K13" s="1"/>
      <c r="L13" s="1">
        <v>0</v>
      </c>
      <c r="M13" s="79"/>
      <c r="N13" s="79"/>
      <c r="O13" s="79"/>
      <c r="P13" s="79"/>
      <c r="Q13" s="79"/>
      <c r="R13" s="79"/>
      <c r="S13" s="79">
        <v>0</v>
      </c>
      <c r="T13" s="79">
        <v>0</v>
      </c>
      <c r="U13" s="79">
        <v>0</v>
      </c>
      <c r="V13" s="1">
        <v>0</v>
      </c>
      <c r="W13" s="28">
        <v>0</v>
      </c>
    </row>
    <row r="14" spans="1:23" x14ac:dyDescent="0.25">
      <c r="A14" s="71" t="s">
        <v>135</v>
      </c>
      <c r="B14" s="122">
        <f t="shared" si="0"/>
        <v>-0.2857142857142857</v>
      </c>
      <c r="C14" s="49">
        <v>-25000</v>
      </c>
      <c r="D14" s="1">
        <v>-20000</v>
      </c>
      <c r="E14" s="105">
        <v>25000</v>
      </c>
      <c r="F14" s="1">
        <v>35000</v>
      </c>
      <c r="G14" s="1">
        <v>50000</v>
      </c>
      <c r="H14" s="1">
        <v>40000</v>
      </c>
      <c r="I14" s="1">
        <v>25000</v>
      </c>
      <c r="J14" s="1">
        <v>10000</v>
      </c>
      <c r="K14" s="1">
        <v>7000</v>
      </c>
      <c r="L14" s="1"/>
      <c r="M14" s="79"/>
      <c r="N14" s="79"/>
      <c r="O14" s="79"/>
      <c r="P14" s="79"/>
      <c r="Q14" s="79"/>
      <c r="R14" s="79"/>
      <c r="S14" s="79"/>
      <c r="T14" s="79"/>
      <c r="U14" s="79"/>
      <c r="V14" s="1"/>
      <c r="W14" s="28"/>
    </row>
    <row r="15" spans="1:23" x14ac:dyDescent="0.25">
      <c r="A15" s="71" t="s">
        <v>91</v>
      </c>
      <c r="B15" s="122">
        <f t="shared" si="0"/>
        <v>-0.375</v>
      </c>
      <c r="C15" s="49">
        <v>-10000</v>
      </c>
      <c r="D15" s="1">
        <v>-12000</v>
      </c>
      <c r="E15" s="105">
        <v>5000</v>
      </c>
      <c r="F15" s="1">
        <v>8000</v>
      </c>
      <c r="G15" s="1">
        <v>15000</v>
      </c>
      <c r="H15" s="1">
        <v>20000</v>
      </c>
      <c r="I15" s="1">
        <v>15000</v>
      </c>
      <c r="J15" s="1">
        <v>5000</v>
      </c>
      <c r="K15" s="1">
        <v>45000</v>
      </c>
      <c r="L15" s="1">
        <v>5000</v>
      </c>
      <c r="M15" s="79">
        <v>10000</v>
      </c>
      <c r="N15" s="79">
        <v>10000</v>
      </c>
      <c r="O15" s="79">
        <v>10000</v>
      </c>
      <c r="P15" s="79">
        <v>7000</v>
      </c>
      <c r="Q15" s="79">
        <v>4000</v>
      </c>
      <c r="R15" s="79">
        <v>3000</v>
      </c>
      <c r="S15" s="79">
        <v>1000</v>
      </c>
      <c r="T15" s="79">
        <v>2000</v>
      </c>
      <c r="U15" s="79">
        <v>0</v>
      </c>
      <c r="V15" s="1">
        <v>0</v>
      </c>
      <c r="W15" s="28">
        <v>0</v>
      </c>
    </row>
    <row r="16" spans="1:23" x14ac:dyDescent="0.25">
      <c r="A16" s="71" t="s">
        <v>35</v>
      </c>
      <c r="B16" s="122" t="str">
        <f t="shared" si="0"/>
        <v/>
      </c>
      <c r="C16" s="49">
        <v>0</v>
      </c>
      <c r="D16" s="1">
        <v>0</v>
      </c>
      <c r="E16" s="105"/>
      <c r="F16" s="1"/>
      <c r="G16" s="1"/>
      <c r="H16" s="1"/>
      <c r="I16" s="1"/>
      <c r="J16" s="1"/>
      <c r="K16" s="1"/>
      <c r="L16" s="1">
        <v>0</v>
      </c>
      <c r="M16" s="79"/>
      <c r="N16" s="79"/>
      <c r="O16" s="79"/>
      <c r="P16" s="79"/>
      <c r="Q16" s="79"/>
      <c r="R16" s="79"/>
      <c r="S16" s="79">
        <v>0</v>
      </c>
      <c r="T16" s="79">
        <v>0</v>
      </c>
      <c r="U16" s="79">
        <v>0</v>
      </c>
      <c r="V16" s="1">
        <v>0</v>
      </c>
      <c r="W16" s="28">
        <v>0</v>
      </c>
    </row>
    <row r="17" spans="1:24" ht="13.8" thickBot="1" x14ac:dyDescent="0.3">
      <c r="A17" s="21" t="s">
        <v>60</v>
      </c>
      <c r="B17" s="122">
        <f t="shared" si="0"/>
        <v>0</v>
      </c>
      <c r="C17" s="49">
        <v>-7000</v>
      </c>
      <c r="D17" s="1">
        <v>-10000</v>
      </c>
      <c r="E17" s="105">
        <v>5000</v>
      </c>
      <c r="F17" s="10">
        <v>5000</v>
      </c>
      <c r="G17" s="10">
        <v>5000</v>
      </c>
      <c r="H17" s="10">
        <v>5000</v>
      </c>
      <c r="I17" s="10">
        <v>40000</v>
      </c>
      <c r="J17" s="10">
        <v>5000</v>
      </c>
      <c r="K17" s="10">
        <v>30000</v>
      </c>
      <c r="L17" s="10">
        <v>1000</v>
      </c>
      <c r="M17" s="10">
        <v>15000</v>
      </c>
      <c r="N17" s="80">
        <v>20000</v>
      </c>
      <c r="O17" s="80">
        <v>5000</v>
      </c>
      <c r="P17" s="80">
        <v>10000</v>
      </c>
      <c r="Q17" s="80">
        <v>1000</v>
      </c>
      <c r="R17" s="80">
        <v>1000</v>
      </c>
      <c r="S17" s="80">
        <v>2000</v>
      </c>
      <c r="T17" s="80">
        <v>3000</v>
      </c>
      <c r="U17" s="80">
        <v>1300</v>
      </c>
      <c r="V17" s="10">
        <v>0</v>
      </c>
      <c r="W17" s="30">
        <v>3000</v>
      </c>
    </row>
    <row r="18" spans="1:24" s="8" customFormat="1" ht="13.8" thickBot="1" x14ac:dyDescent="0.3">
      <c r="A18" s="23" t="s">
        <v>23</v>
      </c>
      <c r="B18" s="114">
        <f t="shared" si="0"/>
        <v>-0.40229885057471265</v>
      </c>
      <c r="C18" s="70">
        <v>-122000</v>
      </c>
      <c r="D18" s="45">
        <v>-139000</v>
      </c>
      <c r="E18" s="44">
        <f t="shared" ref="E18" si="1">SUM(E2:E17)</f>
        <v>104000</v>
      </c>
      <c r="F18" s="33">
        <f t="shared" ref="F18:K18" si="2">SUM(F2:F17)</f>
        <v>174000</v>
      </c>
      <c r="G18" s="33">
        <f t="shared" si="2"/>
        <v>177000</v>
      </c>
      <c r="H18" s="33">
        <f t="shared" si="2"/>
        <v>205000</v>
      </c>
      <c r="I18" s="33">
        <f t="shared" si="2"/>
        <v>237000</v>
      </c>
      <c r="J18" s="33">
        <f t="shared" si="2"/>
        <v>58000</v>
      </c>
      <c r="K18" s="33">
        <f t="shared" si="2"/>
        <v>238000</v>
      </c>
      <c r="L18" s="33">
        <v>92000</v>
      </c>
      <c r="M18" s="33">
        <f>SUM(M2:M17)</f>
        <v>144000</v>
      </c>
      <c r="N18" s="33">
        <f>SUM(N2:N17)</f>
        <v>152000</v>
      </c>
      <c r="O18" s="33">
        <f>SUM(O2:O17)</f>
        <v>104000</v>
      </c>
      <c r="P18" s="33">
        <f>SUM(P2:P17)</f>
        <v>112000</v>
      </c>
      <c r="Q18" s="33">
        <f>SUM(Q2:Q17)</f>
        <v>56000</v>
      </c>
      <c r="R18" s="33">
        <f t="shared" ref="R18:W18" si="3">SUM(R2:R17)</f>
        <v>54000</v>
      </c>
      <c r="S18" s="33">
        <f t="shared" si="3"/>
        <v>15000</v>
      </c>
      <c r="T18" s="33">
        <f t="shared" si="3"/>
        <v>70000</v>
      </c>
      <c r="U18" s="33">
        <f t="shared" si="3"/>
        <v>25000</v>
      </c>
      <c r="V18" s="33">
        <f t="shared" si="3"/>
        <v>0</v>
      </c>
      <c r="W18" s="34">
        <f t="shared" si="3"/>
        <v>30000</v>
      </c>
    </row>
    <row r="19" spans="1:24" x14ac:dyDescent="0.25">
      <c r="B19" s="35"/>
      <c r="C19" s="35"/>
      <c r="F19" s="35"/>
      <c r="G19" s="35"/>
      <c r="H19" s="35"/>
      <c r="I19" s="35"/>
      <c r="J19" s="35"/>
      <c r="K19" s="35"/>
      <c r="L19" s="35"/>
      <c r="M19" s="35"/>
    </row>
    <row r="20" spans="1:24" ht="13.8" thickBot="1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24" ht="13.8" thickBot="1" x14ac:dyDescent="0.3">
      <c r="A21" s="23" t="s">
        <v>25</v>
      </c>
      <c r="B21" s="118" t="s">
        <v>171</v>
      </c>
      <c r="C21" s="48" t="s">
        <v>172</v>
      </c>
      <c r="D21" s="78" t="s">
        <v>169</v>
      </c>
      <c r="E21" s="104">
        <v>45809</v>
      </c>
      <c r="F21" s="110">
        <v>45444</v>
      </c>
      <c r="G21" s="110">
        <v>45078</v>
      </c>
      <c r="H21" s="110">
        <v>44713</v>
      </c>
      <c r="I21" s="110">
        <v>44348</v>
      </c>
      <c r="J21" s="110">
        <v>43983</v>
      </c>
      <c r="K21" s="110">
        <v>43617</v>
      </c>
      <c r="L21" s="110">
        <v>43252</v>
      </c>
      <c r="M21" s="24">
        <v>42887</v>
      </c>
      <c r="N21" s="24">
        <v>42522</v>
      </c>
      <c r="O21" s="24">
        <v>42156</v>
      </c>
      <c r="P21" s="24">
        <v>41791</v>
      </c>
      <c r="Q21" s="24">
        <v>41426</v>
      </c>
      <c r="R21" s="24">
        <v>41061</v>
      </c>
      <c r="S21" s="24">
        <v>40695</v>
      </c>
      <c r="T21" s="24">
        <v>40330</v>
      </c>
      <c r="U21" s="24">
        <v>39965</v>
      </c>
      <c r="V21" s="24">
        <v>39600</v>
      </c>
      <c r="W21" s="25">
        <v>39234</v>
      </c>
    </row>
    <row r="22" spans="1:24" x14ac:dyDescent="0.25">
      <c r="A22" s="20" t="s">
        <v>7</v>
      </c>
      <c r="B22" s="26" t="str">
        <f t="shared" ref="B22:B25" si="4">IFERROR(((E22-F22)/F22),"")</f>
        <v/>
      </c>
      <c r="C22" s="49">
        <v>0</v>
      </c>
      <c r="D22" s="1">
        <v>-400</v>
      </c>
      <c r="E22" s="105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28">
        <v>0</v>
      </c>
    </row>
    <row r="23" spans="1:24" x14ac:dyDescent="0.25">
      <c r="A23" s="39" t="s">
        <v>95</v>
      </c>
      <c r="B23" s="122" t="str">
        <f t="shared" si="4"/>
        <v/>
      </c>
      <c r="C23" s="49">
        <v>0</v>
      </c>
      <c r="D23" s="1">
        <v>0</v>
      </c>
      <c r="E23" s="105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28">
        <v>0</v>
      </c>
    </row>
    <row r="24" spans="1:24" ht="13.8" thickBot="1" x14ac:dyDescent="0.3">
      <c r="A24" s="29" t="s">
        <v>60</v>
      </c>
      <c r="B24" s="27" t="str">
        <f t="shared" si="4"/>
        <v/>
      </c>
      <c r="C24" s="50">
        <v>0</v>
      </c>
      <c r="D24" s="10">
        <v>0</v>
      </c>
      <c r="E24" s="106">
        <v>0</v>
      </c>
      <c r="F24" s="10">
        <v>0</v>
      </c>
      <c r="G24" s="10">
        <v>0</v>
      </c>
      <c r="H24" s="10"/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30">
        <v>0</v>
      </c>
    </row>
    <row r="25" spans="1:24" s="8" customFormat="1" ht="13.8" thickBot="1" x14ac:dyDescent="0.3">
      <c r="A25" s="31" t="s">
        <v>23</v>
      </c>
      <c r="B25" s="32" t="str">
        <f t="shared" si="4"/>
        <v/>
      </c>
      <c r="C25" s="123">
        <v>0</v>
      </c>
      <c r="D25" s="33">
        <v>-400</v>
      </c>
      <c r="E25" s="97">
        <f>SUM(E22:E24)</f>
        <v>0</v>
      </c>
      <c r="F25" s="33">
        <v>0</v>
      </c>
      <c r="G25" s="33">
        <v>0</v>
      </c>
      <c r="H25" s="33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f>SUM(N22:N24)</f>
        <v>0</v>
      </c>
      <c r="O25" s="33">
        <v>0</v>
      </c>
      <c r="P25" s="33">
        <f>SUM(P22:P24)</f>
        <v>0</v>
      </c>
      <c r="Q25" s="33">
        <v>0</v>
      </c>
      <c r="R25" s="33">
        <v>0</v>
      </c>
      <c r="S25" s="33">
        <v>0</v>
      </c>
      <c r="T25" s="33">
        <f>SUM(T22:T24)</f>
        <v>0</v>
      </c>
      <c r="U25" s="33">
        <f>SUM(U22:U24)</f>
        <v>0</v>
      </c>
      <c r="V25" s="33">
        <f>SUM(V22:V24)</f>
        <v>0</v>
      </c>
      <c r="W25" s="34">
        <f>SUM(W22:W24)</f>
        <v>0</v>
      </c>
    </row>
    <row r="27" spans="1:24" x14ac:dyDescent="0.25">
      <c r="B27" s="3" t="s">
        <v>177</v>
      </c>
    </row>
    <row r="28" spans="1:24" x14ac:dyDescent="0.25">
      <c r="B28" s="3" t="s">
        <v>178</v>
      </c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6"/>
      <c r="W42" s="1"/>
      <c r="X42" s="1"/>
    </row>
    <row r="43" spans="22:24" ht="18" x14ac:dyDescent="0.35">
      <c r="V43" s="7"/>
      <c r="W43" s="2"/>
      <c r="X43" s="2"/>
    </row>
  </sheetData>
  <conditionalFormatting sqref="E1">
    <cfRule type="expression" dxfId="11" priority="2">
      <formula>ISBLANK(XFD1)=FALSE</formula>
    </cfRule>
  </conditionalFormatting>
  <conditionalFormatting sqref="E21">
    <cfRule type="expression" dxfId="10" priority="1">
      <formula>ISBLANK(XFD21)=FALSE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5"/>
  <sheetViews>
    <sheetView zoomScaleNormal="100" workbookViewId="0"/>
  </sheetViews>
  <sheetFormatPr defaultColWidth="9.10937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13" width="10.44140625" customWidth="1"/>
    <col min="14" max="21" width="10.109375" customWidth="1"/>
  </cols>
  <sheetData>
    <row r="1" spans="1:21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5">
        <v>39965</v>
      </c>
    </row>
    <row r="2" spans="1:21" x14ac:dyDescent="0.25">
      <c r="A2" s="39" t="s">
        <v>9</v>
      </c>
      <c r="B2" s="46" t="str">
        <f t="shared" ref="B2:B9" si="0">IFERROR(((E2-F2)/F2),"")</f>
        <v/>
      </c>
      <c r="C2" s="150"/>
      <c r="D2" s="151"/>
      <c r="E2" s="152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65"/>
    </row>
    <row r="3" spans="1:21" x14ac:dyDescent="0.25">
      <c r="A3" s="39" t="s">
        <v>148</v>
      </c>
      <c r="B3" s="46" t="str">
        <f t="shared" si="0"/>
        <v/>
      </c>
      <c r="C3" s="150"/>
      <c r="D3" s="151"/>
      <c r="E3" s="152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65"/>
    </row>
    <row r="4" spans="1:21" x14ac:dyDescent="0.25">
      <c r="A4" s="39" t="s">
        <v>27</v>
      </c>
      <c r="B4" s="46" t="str">
        <f t="shared" si="0"/>
        <v/>
      </c>
      <c r="C4" s="150"/>
      <c r="D4" s="151"/>
      <c r="E4" s="152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65"/>
    </row>
    <row r="5" spans="1:21" x14ac:dyDescent="0.25">
      <c r="A5" s="39" t="s">
        <v>26</v>
      </c>
      <c r="B5" s="46" t="str">
        <f t="shared" si="0"/>
        <v/>
      </c>
      <c r="C5" s="150"/>
      <c r="D5" s="151"/>
      <c r="E5" s="152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65"/>
    </row>
    <row r="6" spans="1:21" x14ac:dyDescent="0.25">
      <c r="A6" s="39" t="s">
        <v>19</v>
      </c>
      <c r="B6" s="46" t="str">
        <f t="shared" si="0"/>
        <v/>
      </c>
      <c r="C6" s="150"/>
      <c r="D6" s="151"/>
      <c r="E6" s="152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65"/>
    </row>
    <row r="7" spans="1:21" x14ac:dyDescent="0.25">
      <c r="A7" s="39" t="s">
        <v>90</v>
      </c>
      <c r="B7" s="46" t="str">
        <f t="shared" si="0"/>
        <v/>
      </c>
      <c r="C7" s="150"/>
      <c r="D7" s="151"/>
      <c r="E7" s="152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65"/>
    </row>
    <row r="8" spans="1:21" ht="13.8" thickBot="1" x14ac:dyDescent="0.3">
      <c r="A8" s="40" t="s">
        <v>6</v>
      </c>
      <c r="B8" s="47" t="str">
        <f t="shared" si="0"/>
        <v/>
      </c>
      <c r="C8" s="153"/>
      <c r="D8" s="154"/>
      <c r="E8" s="155"/>
      <c r="F8" s="37"/>
      <c r="G8" s="37"/>
      <c r="H8" s="37"/>
      <c r="I8" s="37"/>
      <c r="J8" s="37"/>
      <c r="K8" s="37"/>
      <c r="L8" s="37"/>
      <c r="M8" s="36"/>
      <c r="N8" s="37"/>
      <c r="O8" s="37"/>
      <c r="P8" s="37"/>
      <c r="Q8" s="37"/>
      <c r="R8" s="37"/>
      <c r="S8" s="37"/>
      <c r="T8" s="37"/>
      <c r="U8" s="65"/>
    </row>
    <row r="9" spans="1:21" ht="13.8" thickBot="1" x14ac:dyDescent="0.3">
      <c r="A9" s="41" t="s">
        <v>94</v>
      </c>
      <c r="B9" s="77" t="str">
        <f t="shared" si="0"/>
        <v/>
      </c>
      <c r="C9" s="156"/>
      <c r="D9" s="157"/>
      <c r="E9" s="158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0"/>
    </row>
    <row r="11" spans="1:21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8" thickBot="1" x14ac:dyDescent="0.3">
      <c r="A12" s="52" t="s">
        <v>93</v>
      </c>
      <c r="B12" s="118" t="s">
        <v>171</v>
      </c>
      <c r="C12" s="48" t="s">
        <v>172</v>
      </c>
      <c r="D12" s="78" t="s">
        <v>169</v>
      </c>
      <c r="E12" s="104">
        <v>45809</v>
      </c>
      <c r="F12" s="110">
        <v>45444</v>
      </c>
      <c r="G12" s="110">
        <v>45078</v>
      </c>
      <c r="H12" s="110">
        <v>44713</v>
      </c>
      <c r="I12" s="110">
        <v>44348</v>
      </c>
      <c r="J12" s="110">
        <v>43983</v>
      </c>
      <c r="K12" s="110">
        <v>43617</v>
      </c>
      <c r="L12" s="110">
        <v>43252</v>
      </c>
      <c r="M12" s="24">
        <v>42887</v>
      </c>
      <c r="N12" s="24">
        <v>42522</v>
      </c>
      <c r="O12" s="24">
        <v>42156</v>
      </c>
      <c r="P12" s="24">
        <v>41791</v>
      </c>
      <c r="Q12" s="24">
        <v>41426</v>
      </c>
      <c r="R12" s="24">
        <v>41061</v>
      </c>
      <c r="S12" s="24">
        <v>40695</v>
      </c>
      <c r="T12" s="24">
        <v>40330</v>
      </c>
      <c r="U12" s="25">
        <v>39965</v>
      </c>
    </row>
    <row r="13" spans="1:21" ht="13.8" thickBot="1" x14ac:dyDescent="0.3">
      <c r="A13" s="53" t="s">
        <v>149</v>
      </c>
      <c r="B13" s="54" t="str">
        <f t="shared" ref="B13:B14" si="1">IFERROR(((E13-F13)/F13),"")</f>
        <v/>
      </c>
      <c r="C13" s="159"/>
      <c r="D13" s="56">
        <v>0</v>
      </c>
      <c r="E13" s="55"/>
      <c r="F13" s="56"/>
      <c r="G13" s="56"/>
      <c r="H13" s="56">
        <v>15329</v>
      </c>
      <c r="I13" s="56">
        <v>1097</v>
      </c>
      <c r="J13" s="56">
        <v>3173</v>
      </c>
      <c r="K13" s="56">
        <v>4925</v>
      </c>
      <c r="L13" s="56"/>
      <c r="M13" s="56"/>
      <c r="N13" s="56"/>
      <c r="O13" s="56"/>
      <c r="P13" s="56"/>
      <c r="Q13" s="56"/>
      <c r="R13" s="56"/>
      <c r="S13" s="56">
        <v>0</v>
      </c>
      <c r="T13" s="56"/>
      <c r="U13" s="67"/>
    </row>
    <row r="14" spans="1:21" ht="13.8" thickBot="1" x14ac:dyDescent="0.3">
      <c r="A14" s="52" t="s">
        <v>94</v>
      </c>
      <c r="B14" s="62" t="str">
        <f t="shared" si="1"/>
        <v/>
      </c>
      <c r="C14" s="70"/>
      <c r="D14" s="83">
        <v>0</v>
      </c>
      <c r="E14" s="63"/>
      <c r="F14" s="83"/>
      <c r="G14" s="83"/>
      <c r="H14" s="83">
        <v>15329</v>
      </c>
      <c r="I14" s="83">
        <v>1097</v>
      </c>
      <c r="J14" s="83">
        <v>3173</v>
      </c>
      <c r="K14" s="83">
        <v>4925</v>
      </c>
      <c r="L14" s="83"/>
      <c r="M14" s="83"/>
      <c r="N14" s="83"/>
      <c r="O14" s="83"/>
      <c r="P14" s="83"/>
      <c r="Q14" s="83"/>
      <c r="R14" s="83"/>
      <c r="S14" s="83">
        <v>0</v>
      </c>
      <c r="T14" s="83"/>
      <c r="U14" s="84"/>
    </row>
    <row r="15" spans="1:21" x14ac:dyDescent="0.25">
      <c r="B15" s="3" t="s">
        <v>179</v>
      </c>
    </row>
  </sheetData>
  <conditionalFormatting sqref="E1">
    <cfRule type="expression" dxfId="9" priority="2">
      <formula>ISBLANK(XFD1)=FALSE</formula>
    </cfRule>
  </conditionalFormatting>
  <conditionalFormatting sqref="E12">
    <cfRule type="expression" dxfId="8" priority="1">
      <formula>ISBLANK(XFD12)=FALSE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6"/>
  <sheetViews>
    <sheetView zoomScaleNormal="100"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6640625" customWidth="1"/>
    <col min="13" max="23" width="10.109375" bestFit="1" customWidth="1"/>
  </cols>
  <sheetData>
    <row r="1" spans="1:27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7" x14ac:dyDescent="0.25">
      <c r="A2" s="20" t="s">
        <v>110</v>
      </c>
      <c r="B2" s="26">
        <f t="shared" ref="B2:B8" si="0">IFERROR(((E2-F2)/F2),"")</f>
        <v>1.6086547507055504</v>
      </c>
      <c r="C2" s="49">
        <v>-2529</v>
      </c>
      <c r="D2" s="1">
        <v>-1530</v>
      </c>
      <c r="E2" s="105">
        <v>2773</v>
      </c>
      <c r="F2" s="1">
        <v>1063</v>
      </c>
      <c r="G2" s="1">
        <v>2655.62123790139</v>
      </c>
      <c r="H2" s="1">
        <v>5074.4967151660094</v>
      </c>
      <c r="I2" s="1">
        <v>3084.0152137386081</v>
      </c>
      <c r="J2" s="1">
        <v>3897.6816572320326</v>
      </c>
      <c r="K2" s="1">
        <v>7658</v>
      </c>
      <c r="L2" s="1">
        <v>1507</v>
      </c>
      <c r="M2" s="1">
        <v>7251</v>
      </c>
      <c r="N2" s="1">
        <v>3429</v>
      </c>
      <c r="O2" s="1">
        <v>907.22362759926409</v>
      </c>
      <c r="P2" s="1">
        <v>3375.0312277397443</v>
      </c>
      <c r="Q2" s="1">
        <v>210.01755949948461</v>
      </c>
      <c r="R2" s="1">
        <v>1329</v>
      </c>
      <c r="S2" s="1">
        <v>377.73243570814606</v>
      </c>
      <c r="T2" s="1">
        <v>122</v>
      </c>
      <c r="U2" s="1">
        <v>855</v>
      </c>
      <c r="V2" s="1">
        <v>2835</v>
      </c>
      <c r="W2" s="28">
        <v>928</v>
      </c>
    </row>
    <row r="3" spans="1:27" x14ac:dyDescent="0.25">
      <c r="A3" s="20" t="s">
        <v>111</v>
      </c>
      <c r="B3" s="26">
        <f t="shared" si="0"/>
        <v>-1</v>
      </c>
      <c r="C3" s="49">
        <v>-10</v>
      </c>
      <c r="D3" s="1">
        <v>-10</v>
      </c>
      <c r="E3" s="105">
        <v>0</v>
      </c>
      <c r="F3" s="1">
        <v>12</v>
      </c>
      <c r="G3" s="1">
        <v>11.649862384697219</v>
      </c>
      <c r="H3" s="1">
        <v>16.96549208738389</v>
      </c>
      <c r="I3" s="1">
        <v>0</v>
      </c>
      <c r="J3" s="1">
        <v>56</v>
      </c>
      <c r="K3" s="1">
        <v>18</v>
      </c>
      <c r="L3" s="1">
        <v>10</v>
      </c>
      <c r="M3" s="1">
        <v>0</v>
      </c>
      <c r="N3" s="1">
        <v>0</v>
      </c>
      <c r="O3" s="1">
        <v>5.3581744934959774</v>
      </c>
      <c r="P3" s="1">
        <v>2.1771036233562389</v>
      </c>
      <c r="Q3" s="1">
        <v>0</v>
      </c>
      <c r="R3" s="1">
        <v>4</v>
      </c>
      <c r="S3" s="1">
        <v>97.818938206319146</v>
      </c>
      <c r="T3" s="1">
        <v>3</v>
      </c>
      <c r="U3" s="1">
        <v>105</v>
      </c>
      <c r="V3" s="1">
        <v>135</v>
      </c>
      <c r="W3" s="28">
        <v>179</v>
      </c>
    </row>
    <row r="4" spans="1:27" x14ac:dyDescent="0.25">
      <c r="A4" s="20" t="s">
        <v>112</v>
      </c>
      <c r="B4" s="26">
        <f t="shared" si="0"/>
        <v>-0.24165504029319285</v>
      </c>
      <c r="C4" s="49">
        <v>-17954</v>
      </c>
      <c r="D4" s="1">
        <v>-13834</v>
      </c>
      <c r="E4" s="105">
        <v>36418</v>
      </c>
      <c r="F4" s="1">
        <v>48023</v>
      </c>
      <c r="G4" s="1">
        <v>28188.639066360844</v>
      </c>
      <c r="H4" s="1">
        <v>56269.126469192903</v>
      </c>
      <c r="I4" s="1">
        <v>26515.781516880343</v>
      </c>
      <c r="J4" s="1">
        <v>49091</v>
      </c>
      <c r="K4" s="1">
        <v>33568</v>
      </c>
      <c r="L4" s="1">
        <v>23499</v>
      </c>
      <c r="M4" s="1">
        <v>53641</v>
      </c>
      <c r="N4" s="1">
        <v>22253</v>
      </c>
      <c r="O4" s="1">
        <v>33268.317990651958</v>
      </c>
      <c r="P4" s="1">
        <v>36702.941715545967</v>
      </c>
      <c r="Q4" s="1">
        <v>13425.869082642428</v>
      </c>
      <c r="R4" s="1">
        <v>36829</v>
      </c>
      <c r="S4" s="1">
        <v>23291.367032438306</v>
      </c>
      <c r="T4" s="1">
        <v>24763</v>
      </c>
      <c r="U4" s="1">
        <v>42081</v>
      </c>
      <c r="V4" s="1">
        <v>39485</v>
      </c>
      <c r="W4" s="28">
        <v>35405</v>
      </c>
    </row>
    <row r="5" spans="1:27" x14ac:dyDescent="0.25">
      <c r="A5" s="20" t="s">
        <v>17</v>
      </c>
      <c r="B5" s="26">
        <f t="shared" si="0"/>
        <v>0.31707630935529535</v>
      </c>
      <c r="C5" s="49">
        <v>-1892</v>
      </c>
      <c r="D5" s="1">
        <v>-2217</v>
      </c>
      <c r="E5" s="105">
        <v>10235</v>
      </c>
      <c r="F5" s="1">
        <v>7771</v>
      </c>
      <c r="G5" s="1">
        <v>5093.6496613507061</v>
      </c>
      <c r="H5" s="1">
        <v>9608.3080872998326</v>
      </c>
      <c r="I5" s="1">
        <v>6033.6182518890419</v>
      </c>
      <c r="J5" s="1">
        <v>7346</v>
      </c>
      <c r="K5" s="1">
        <v>6039</v>
      </c>
      <c r="L5" s="1">
        <v>4773</v>
      </c>
      <c r="M5" s="1">
        <v>4476</v>
      </c>
      <c r="N5" s="1">
        <v>3875</v>
      </c>
      <c r="O5" s="1">
        <v>2465.316742293162</v>
      </c>
      <c r="P5" s="1">
        <v>1713.7549002651481</v>
      </c>
      <c r="Q5" s="1">
        <v>964.29986590027659</v>
      </c>
      <c r="R5" s="1">
        <v>1861</v>
      </c>
      <c r="S5" s="1">
        <v>4</v>
      </c>
      <c r="T5" s="1">
        <v>609</v>
      </c>
      <c r="U5" s="1">
        <v>779</v>
      </c>
      <c r="V5" s="1">
        <v>475</v>
      </c>
      <c r="W5" s="28">
        <v>101</v>
      </c>
      <c r="Z5" s="1"/>
      <c r="AA5" s="1"/>
    </row>
    <row r="6" spans="1:27" x14ac:dyDescent="0.25">
      <c r="A6" s="20" t="s">
        <v>19</v>
      </c>
      <c r="B6" s="26">
        <f t="shared" si="0"/>
        <v>-0.16979362101313319</v>
      </c>
      <c r="C6" s="49">
        <v>-2378</v>
      </c>
      <c r="D6" s="1">
        <v>-2886</v>
      </c>
      <c r="E6" s="105">
        <v>1770</v>
      </c>
      <c r="F6" s="1">
        <v>2132</v>
      </c>
      <c r="G6" s="1">
        <v>3718.7133486787516</v>
      </c>
      <c r="H6" s="1">
        <v>6547.1072697230593</v>
      </c>
      <c r="I6" s="1">
        <v>3362.5844163783759</v>
      </c>
      <c r="J6" s="1">
        <v>4966</v>
      </c>
      <c r="K6" s="1">
        <v>4594</v>
      </c>
      <c r="L6" s="1">
        <v>1254</v>
      </c>
      <c r="M6" s="79">
        <v>2889</v>
      </c>
      <c r="N6" s="79">
        <v>2896</v>
      </c>
      <c r="O6" s="79">
        <v>1387.8578878095595</v>
      </c>
      <c r="P6" s="79">
        <v>303.89741676470908</v>
      </c>
      <c r="Q6" s="79">
        <v>332.62227351140706</v>
      </c>
      <c r="R6" s="79">
        <v>255</v>
      </c>
      <c r="S6" s="79">
        <v>230.01242352734963</v>
      </c>
      <c r="T6" s="79">
        <v>404</v>
      </c>
      <c r="U6" s="79">
        <v>1647</v>
      </c>
      <c r="V6" s="1">
        <v>2220</v>
      </c>
      <c r="W6" s="28">
        <v>2095</v>
      </c>
      <c r="Z6" s="1"/>
      <c r="AA6" s="1"/>
    </row>
    <row r="7" spans="1:27" ht="13.8" thickBot="1" x14ac:dyDescent="0.3">
      <c r="A7" s="21" t="s">
        <v>60</v>
      </c>
      <c r="B7" s="26">
        <f t="shared" si="0"/>
        <v>-8.8118998305403873E-2</v>
      </c>
      <c r="C7" s="49">
        <v>-4929</v>
      </c>
      <c r="D7" s="1">
        <v>-4969</v>
      </c>
      <c r="E7" s="105">
        <v>4843</v>
      </c>
      <c r="F7" s="1">
        <v>5311</v>
      </c>
      <c r="G7" s="1">
        <v>3228</v>
      </c>
      <c r="H7" s="1">
        <v>4098</v>
      </c>
      <c r="I7" s="1">
        <v>3862</v>
      </c>
      <c r="J7" s="1">
        <v>4118</v>
      </c>
      <c r="K7" s="1">
        <v>1354</v>
      </c>
      <c r="L7" s="1">
        <v>1500</v>
      </c>
      <c r="M7" s="79">
        <v>1322</v>
      </c>
      <c r="N7" s="79">
        <v>1430</v>
      </c>
      <c r="O7" s="79">
        <v>839.3</v>
      </c>
      <c r="P7" s="79">
        <v>954</v>
      </c>
      <c r="Q7" s="79">
        <v>145</v>
      </c>
      <c r="R7" s="79">
        <v>670</v>
      </c>
      <c r="S7" s="79">
        <v>78.5</v>
      </c>
      <c r="T7" s="79">
        <v>48</v>
      </c>
      <c r="U7" s="79">
        <v>520</v>
      </c>
      <c r="V7" s="1">
        <v>712</v>
      </c>
      <c r="W7" s="28">
        <v>1427</v>
      </c>
      <c r="Z7" s="1"/>
      <c r="AA7" s="1"/>
    </row>
    <row r="8" spans="1:27" ht="13.8" thickBot="1" x14ac:dyDescent="0.3">
      <c r="A8" s="23" t="s">
        <v>23</v>
      </c>
      <c r="B8" s="114">
        <f t="shared" si="0"/>
        <v>-0.12863851225276776</v>
      </c>
      <c r="C8" s="70">
        <v>-29692</v>
      </c>
      <c r="D8" s="45">
        <v>-25446</v>
      </c>
      <c r="E8" s="44">
        <f t="shared" ref="E8" si="1">SUM(E2:E7)</f>
        <v>56039</v>
      </c>
      <c r="F8" s="45">
        <f t="shared" ref="F8:K8" si="2">SUM(F2:F7)</f>
        <v>64312</v>
      </c>
      <c r="G8" s="45">
        <f t="shared" si="2"/>
        <v>42896.27317667639</v>
      </c>
      <c r="H8" s="45">
        <f t="shared" si="2"/>
        <v>81614.004033469188</v>
      </c>
      <c r="I8" s="45">
        <f t="shared" si="2"/>
        <v>42857.999398886372</v>
      </c>
      <c r="J8" s="45">
        <f t="shared" si="2"/>
        <v>69474.681657232024</v>
      </c>
      <c r="K8" s="45">
        <f t="shared" si="2"/>
        <v>53231</v>
      </c>
      <c r="L8" s="45">
        <f t="shared" ref="L8:Q8" si="3">SUM(L2:L7)</f>
        <v>32543</v>
      </c>
      <c r="M8" s="45">
        <f t="shared" si="3"/>
        <v>69579</v>
      </c>
      <c r="N8" s="45">
        <f t="shared" si="3"/>
        <v>33883</v>
      </c>
      <c r="O8" s="45">
        <f t="shared" si="3"/>
        <v>38873.374422847439</v>
      </c>
      <c r="P8" s="45">
        <f t="shared" si="3"/>
        <v>43051.802363938928</v>
      </c>
      <c r="Q8" s="45">
        <f t="shared" si="3"/>
        <v>15077.808781553598</v>
      </c>
      <c r="R8" s="45">
        <f t="shared" ref="R8:W8" si="4">SUM(R2:R7)</f>
        <v>40948</v>
      </c>
      <c r="S8" s="45">
        <f t="shared" si="4"/>
        <v>24079.430829880122</v>
      </c>
      <c r="T8" s="45">
        <f t="shared" si="4"/>
        <v>25949</v>
      </c>
      <c r="U8" s="45">
        <f t="shared" si="4"/>
        <v>45987</v>
      </c>
      <c r="V8" s="45">
        <f t="shared" si="4"/>
        <v>45862</v>
      </c>
      <c r="W8" s="90">
        <f t="shared" si="4"/>
        <v>40135</v>
      </c>
      <c r="Z8" s="1"/>
      <c r="AA8" s="1"/>
    </row>
    <row r="9" spans="1:27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Z9" s="1"/>
      <c r="AA9" s="1"/>
    </row>
    <row r="10" spans="1:27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27" ht="13.8" thickBot="1" x14ac:dyDescent="0.3">
      <c r="A11" s="23" t="s">
        <v>25</v>
      </c>
      <c r="B11" s="118" t="s">
        <v>171</v>
      </c>
      <c r="C11" s="48" t="s">
        <v>172</v>
      </c>
      <c r="D11" s="78" t="s">
        <v>169</v>
      </c>
      <c r="E11" s="104">
        <v>45809</v>
      </c>
      <c r="F11" s="110">
        <v>45444</v>
      </c>
      <c r="G11" s="110">
        <v>45078</v>
      </c>
      <c r="H11" s="110">
        <v>44713</v>
      </c>
      <c r="I11" s="110">
        <v>44348</v>
      </c>
      <c r="J11" s="110">
        <v>43983</v>
      </c>
      <c r="K11" s="110">
        <v>43617</v>
      </c>
      <c r="L11" s="110">
        <v>43252</v>
      </c>
      <c r="M11" s="24">
        <v>42887</v>
      </c>
      <c r="N11" s="24">
        <v>42522</v>
      </c>
      <c r="O11" s="24">
        <v>42156</v>
      </c>
      <c r="P11" s="24">
        <v>41791</v>
      </c>
      <c r="Q11" s="24">
        <v>41426</v>
      </c>
      <c r="R11" s="24">
        <v>41061</v>
      </c>
      <c r="S11" s="24">
        <v>40695</v>
      </c>
      <c r="T11" s="24">
        <v>40330</v>
      </c>
      <c r="U11" s="24">
        <v>39965</v>
      </c>
      <c r="V11" s="24">
        <v>39600</v>
      </c>
      <c r="W11" s="25">
        <v>39234</v>
      </c>
    </row>
    <row r="12" spans="1:27" x14ac:dyDescent="0.25">
      <c r="A12" s="20" t="s">
        <v>39</v>
      </c>
      <c r="B12" s="26">
        <f t="shared" ref="B12:B17" si="5">IFERROR(((E12-F12)/F12),"")</f>
        <v>-1</v>
      </c>
      <c r="C12" s="49">
        <v>-59</v>
      </c>
      <c r="D12" s="1">
        <v>-71</v>
      </c>
      <c r="E12" s="105">
        <v>0</v>
      </c>
      <c r="F12" s="1">
        <v>35</v>
      </c>
      <c r="G12" s="1">
        <v>23.299724769394437</v>
      </c>
      <c r="H12" s="1">
        <v>39.586148203895739</v>
      </c>
      <c r="I12" s="1">
        <v>143.0318905822817</v>
      </c>
      <c r="J12" s="1">
        <v>150</v>
      </c>
      <c r="K12" s="1">
        <v>29</v>
      </c>
      <c r="L12" s="1">
        <v>104</v>
      </c>
      <c r="M12" s="1">
        <v>216</v>
      </c>
      <c r="N12" s="1">
        <v>16</v>
      </c>
      <c r="O12" s="1">
        <v>2.232572705623324</v>
      </c>
      <c r="P12" s="1">
        <v>230.77298407576129</v>
      </c>
      <c r="Q12" s="1">
        <v>0</v>
      </c>
      <c r="R12" s="1">
        <v>690</v>
      </c>
      <c r="S12" s="1">
        <v>73.14487868118259</v>
      </c>
      <c r="T12" s="1">
        <v>137</v>
      </c>
      <c r="U12" s="1">
        <v>4</v>
      </c>
      <c r="V12" s="1">
        <v>0</v>
      </c>
      <c r="W12" s="28">
        <v>418</v>
      </c>
    </row>
    <row r="13" spans="1:27" x14ac:dyDescent="0.25">
      <c r="A13" s="20" t="s">
        <v>40</v>
      </c>
      <c r="B13" s="26" t="str">
        <f t="shared" si="5"/>
        <v/>
      </c>
      <c r="C13" s="49">
        <v>-440</v>
      </c>
      <c r="D13" s="1">
        <v>-12</v>
      </c>
      <c r="E13" s="105">
        <v>40</v>
      </c>
      <c r="F13" s="1">
        <v>0</v>
      </c>
      <c r="G13" s="1">
        <v>97.555947609454506</v>
      </c>
      <c r="H13" s="1">
        <v>7.9172296407791478</v>
      </c>
      <c r="I13" s="1">
        <v>569.31197393183766</v>
      </c>
      <c r="J13" s="1">
        <v>71</v>
      </c>
      <c r="K13" s="1">
        <v>66</v>
      </c>
      <c r="L13" s="1">
        <v>105</v>
      </c>
      <c r="M13" s="1">
        <v>0</v>
      </c>
      <c r="N13" s="1">
        <v>71</v>
      </c>
      <c r="O13" s="1">
        <v>28.186230408494467</v>
      </c>
      <c r="P13" s="1">
        <v>303.71684097631208</v>
      </c>
      <c r="Q13" s="1">
        <v>5.5267778815653843</v>
      </c>
      <c r="R13" s="1">
        <v>188</v>
      </c>
      <c r="S13" s="1">
        <v>405.40028112233256</v>
      </c>
      <c r="T13" s="1">
        <v>534</v>
      </c>
      <c r="U13" s="1">
        <v>0</v>
      </c>
      <c r="V13" s="1">
        <v>550</v>
      </c>
      <c r="W13" s="28">
        <v>73</v>
      </c>
      <c r="Z13" s="1"/>
      <c r="AA13" s="1"/>
    </row>
    <row r="14" spans="1:27" x14ac:dyDescent="0.25">
      <c r="A14" s="20" t="s">
        <v>7</v>
      </c>
      <c r="B14" s="26">
        <f t="shared" si="5"/>
        <v>-0.64530377531460958</v>
      </c>
      <c r="C14" s="49">
        <v>-2718</v>
      </c>
      <c r="D14" s="1">
        <v>-6406</v>
      </c>
      <c r="E14" s="105">
        <v>4256</v>
      </c>
      <c r="F14" s="1">
        <v>11999</v>
      </c>
      <c r="G14" s="1">
        <v>4903.0892317099024</v>
      </c>
      <c r="H14" s="1">
        <v>12481.410735735803</v>
      </c>
      <c r="I14" s="1">
        <v>7049.5012938283853</v>
      </c>
      <c r="J14" s="1">
        <v>8044</v>
      </c>
      <c r="K14" s="1">
        <v>8568</v>
      </c>
      <c r="L14" s="1">
        <v>8030</v>
      </c>
      <c r="M14" s="1">
        <v>4365</v>
      </c>
      <c r="N14" s="1">
        <v>8457</v>
      </c>
      <c r="O14" s="1">
        <v>6660.0211267355226</v>
      </c>
      <c r="P14" s="1">
        <v>8320.8791629494262</v>
      </c>
      <c r="Q14" s="1">
        <v>686.83479445365651</v>
      </c>
      <c r="R14" s="1">
        <v>18382</v>
      </c>
      <c r="S14" s="1">
        <v>9231</v>
      </c>
      <c r="T14" s="1">
        <v>9952</v>
      </c>
      <c r="U14" s="1">
        <v>6999</v>
      </c>
      <c r="V14" s="1">
        <v>4835</v>
      </c>
      <c r="W14" s="28">
        <v>9807</v>
      </c>
      <c r="Z14" s="1"/>
      <c r="AA14" s="1"/>
    </row>
    <row r="15" spans="1:27" x14ac:dyDescent="0.25">
      <c r="A15" s="20" t="s">
        <v>113</v>
      </c>
      <c r="B15" s="26" t="str">
        <f t="shared" si="5"/>
        <v/>
      </c>
      <c r="C15" s="49">
        <v>0</v>
      </c>
      <c r="D15" s="1">
        <v>0</v>
      </c>
      <c r="E15" s="105"/>
      <c r="F15" s="1"/>
      <c r="G15" s="1"/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/>
      <c r="V15" s="1"/>
      <c r="W15" s="28"/>
      <c r="Z15" s="1"/>
      <c r="AA15" s="1"/>
    </row>
    <row r="16" spans="1:27" ht="13.8" thickBot="1" x14ac:dyDescent="0.3">
      <c r="A16" s="20" t="s">
        <v>60</v>
      </c>
      <c r="B16" s="26" t="str">
        <f t="shared" si="5"/>
        <v/>
      </c>
      <c r="C16" s="49">
        <v>-24</v>
      </c>
      <c r="D16" s="1">
        <v>-17</v>
      </c>
      <c r="E16" s="105"/>
      <c r="F16" s="10">
        <v>0</v>
      </c>
      <c r="G16" s="10">
        <v>5</v>
      </c>
      <c r="H16" s="10">
        <v>6.2206804320407594</v>
      </c>
      <c r="I16" s="10">
        <v>49.554355792286565</v>
      </c>
      <c r="J16" s="10">
        <v>218</v>
      </c>
      <c r="K16" s="10">
        <v>187</v>
      </c>
      <c r="L16" s="10">
        <v>94</v>
      </c>
      <c r="M16" s="10">
        <v>224</v>
      </c>
      <c r="N16" s="10">
        <v>3</v>
      </c>
      <c r="O16" s="10">
        <v>0</v>
      </c>
      <c r="P16" s="10">
        <v>59.93517482114828</v>
      </c>
      <c r="Q16" s="10">
        <v>0</v>
      </c>
      <c r="R16" s="10">
        <v>381</v>
      </c>
      <c r="S16" s="10">
        <v>261</v>
      </c>
      <c r="T16" s="10">
        <v>207</v>
      </c>
      <c r="U16" s="10">
        <v>93</v>
      </c>
      <c r="V16" s="10">
        <v>335</v>
      </c>
      <c r="W16" s="30">
        <v>126</v>
      </c>
      <c r="Z16" s="1"/>
      <c r="AA16" s="1"/>
    </row>
    <row r="17" spans="1:27" ht="13.8" thickBot="1" x14ac:dyDescent="0.3">
      <c r="A17" s="23" t="s">
        <v>23</v>
      </c>
      <c r="B17" s="114">
        <f t="shared" si="5"/>
        <v>-0.64301146750872529</v>
      </c>
      <c r="C17" s="70">
        <v>-3241</v>
      </c>
      <c r="D17" s="45">
        <v>-6506</v>
      </c>
      <c r="E17" s="44">
        <f t="shared" ref="E17" si="6">SUM(E12:E16)</f>
        <v>4296</v>
      </c>
      <c r="F17" s="33">
        <f t="shared" ref="F17:K17" si="7">SUM(F12:F16)</f>
        <v>12034</v>
      </c>
      <c r="G17" s="33">
        <f t="shared" si="7"/>
        <v>5028.9449040887512</v>
      </c>
      <c r="H17" s="33">
        <f t="shared" si="7"/>
        <v>12535.134794012518</v>
      </c>
      <c r="I17" s="33">
        <f t="shared" si="7"/>
        <v>7811.3995141347914</v>
      </c>
      <c r="J17" s="33">
        <f t="shared" si="7"/>
        <v>8483</v>
      </c>
      <c r="K17" s="33">
        <f t="shared" si="7"/>
        <v>8850</v>
      </c>
      <c r="L17" s="33">
        <f t="shared" ref="L17:Q17" si="8">SUM(L12:L16)</f>
        <v>8333</v>
      </c>
      <c r="M17" s="33">
        <f t="shared" si="8"/>
        <v>4805</v>
      </c>
      <c r="N17" s="33">
        <f t="shared" si="8"/>
        <v>8547</v>
      </c>
      <c r="O17" s="33">
        <f t="shared" si="8"/>
        <v>6690.4399298496401</v>
      </c>
      <c r="P17" s="33">
        <f t="shared" si="8"/>
        <v>8915.3041628226474</v>
      </c>
      <c r="Q17" s="33">
        <f t="shared" si="8"/>
        <v>692.36157233522192</v>
      </c>
      <c r="R17" s="33">
        <f t="shared" ref="R17:W17" si="9">SUM(R12:R16)</f>
        <v>19641</v>
      </c>
      <c r="S17" s="33">
        <f t="shared" si="9"/>
        <v>9970.5451598035143</v>
      </c>
      <c r="T17" s="33">
        <f t="shared" si="9"/>
        <v>10830</v>
      </c>
      <c r="U17" s="33">
        <f t="shared" si="9"/>
        <v>7096</v>
      </c>
      <c r="V17" s="33">
        <f t="shared" si="9"/>
        <v>5720</v>
      </c>
      <c r="W17" s="34">
        <f t="shared" si="9"/>
        <v>10424</v>
      </c>
      <c r="Z17" s="1"/>
      <c r="AA17" s="1"/>
    </row>
    <row r="20" spans="1:27" ht="13.8" x14ac:dyDescent="0.25">
      <c r="F20" s="101"/>
      <c r="G20" s="101"/>
      <c r="H20" s="101"/>
      <c r="I20" s="101"/>
      <c r="J20" s="101"/>
      <c r="K20" s="101"/>
      <c r="L20" s="100"/>
      <c r="M20" s="100"/>
    </row>
    <row r="21" spans="1:27" ht="13.8" x14ac:dyDescent="0.25">
      <c r="F21" s="99"/>
      <c r="G21" s="99"/>
      <c r="H21" s="99"/>
      <c r="I21" s="99"/>
      <c r="J21" s="99"/>
      <c r="K21" s="99"/>
      <c r="L21" s="100"/>
      <c r="M21" s="100"/>
    </row>
    <row r="22" spans="1:27" ht="13.8" x14ac:dyDescent="0.25">
      <c r="F22" s="37"/>
      <c r="G22" s="37"/>
      <c r="H22" s="37"/>
      <c r="I22" s="37"/>
      <c r="J22" s="37"/>
      <c r="K22" s="37"/>
      <c r="L22" s="100"/>
      <c r="M22" s="100"/>
    </row>
    <row r="23" spans="1:27" ht="13.8" x14ac:dyDescent="0.25">
      <c r="F23" s="99"/>
      <c r="G23" s="99"/>
      <c r="H23" s="99"/>
      <c r="I23" s="99"/>
      <c r="J23" s="99"/>
      <c r="K23" s="99"/>
      <c r="L23" s="100"/>
      <c r="M23" s="100"/>
    </row>
    <row r="24" spans="1:27" ht="17.399999999999999" x14ac:dyDescent="0.3">
      <c r="F24" s="99"/>
      <c r="G24" s="99"/>
      <c r="H24" s="99"/>
      <c r="I24" s="99"/>
      <c r="J24" s="99"/>
      <c r="K24" s="99"/>
      <c r="L24" s="100"/>
      <c r="M24" s="100"/>
      <c r="V24" s="5"/>
      <c r="W24" s="1"/>
      <c r="X24" s="1"/>
    </row>
    <row r="25" spans="1:27" ht="17.399999999999999" x14ac:dyDescent="0.3">
      <c r="F25" s="99"/>
      <c r="G25" s="99"/>
      <c r="H25" s="99"/>
      <c r="I25" s="99"/>
      <c r="J25" s="99"/>
      <c r="K25" s="99"/>
      <c r="L25" s="100"/>
      <c r="M25" s="100"/>
      <c r="V25" s="5"/>
      <c r="W25" s="1"/>
      <c r="X25" s="1"/>
    </row>
    <row r="26" spans="1:27" ht="17.399999999999999" x14ac:dyDescent="0.3">
      <c r="F26" s="99"/>
      <c r="G26" s="99"/>
      <c r="H26" s="99"/>
      <c r="I26" s="99"/>
      <c r="J26" s="99"/>
      <c r="K26" s="99"/>
      <c r="L26" s="100"/>
      <c r="M26" s="100"/>
      <c r="V26" s="5"/>
      <c r="W26" s="1"/>
      <c r="X26" s="1"/>
    </row>
    <row r="27" spans="1:27" ht="17.399999999999999" x14ac:dyDescent="0.3">
      <c r="F27" s="101"/>
      <c r="G27" s="101"/>
      <c r="H27" s="101"/>
      <c r="I27" s="101"/>
      <c r="J27" s="101"/>
      <c r="K27" s="101"/>
      <c r="L27" s="102"/>
      <c r="M27" s="102"/>
      <c r="V27" s="5"/>
      <c r="W27" s="1"/>
      <c r="X27" s="1"/>
    </row>
    <row r="28" spans="1:27" ht="17.399999999999999" x14ac:dyDescent="0.3">
      <c r="F28" s="99"/>
      <c r="G28" s="99"/>
      <c r="H28" s="99"/>
      <c r="I28" s="99"/>
      <c r="J28" s="99"/>
      <c r="K28" s="99"/>
      <c r="L28" s="100"/>
      <c r="M28" s="100"/>
      <c r="V28" s="5"/>
      <c r="W28" s="1"/>
      <c r="X28" s="1"/>
    </row>
    <row r="29" spans="1:27" ht="17.399999999999999" x14ac:dyDescent="0.3">
      <c r="F29" s="101"/>
      <c r="G29" s="101"/>
      <c r="H29" s="101"/>
      <c r="I29" s="101"/>
      <c r="J29" s="101"/>
      <c r="K29" s="101"/>
      <c r="L29" s="100"/>
      <c r="M29" s="100"/>
      <c r="V29" s="5"/>
      <c r="W29" s="1"/>
      <c r="X29" s="1"/>
    </row>
    <row r="30" spans="1:27" ht="17.399999999999999" x14ac:dyDescent="0.3">
      <c r="F30" s="101"/>
      <c r="G30" s="101"/>
      <c r="H30" s="101"/>
      <c r="I30" s="101"/>
      <c r="J30" s="101"/>
      <c r="K30" s="101"/>
      <c r="L30" s="100"/>
      <c r="M30" s="100"/>
      <c r="V30" s="5"/>
      <c r="W30" s="1"/>
      <c r="X30" s="1"/>
    </row>
    <row r="31" spans="1:27" ht="17.399999999999999" x14ac:dyDescent="0.3">
      <c r="F31" s="99"/>
      <c r="G31" s="99"/>
      <c r="H31" s="99"/>
      <c r="I31" s="99"/>
      <c r="J31" s="99"/>
      <c r="K31" s="99"/>
      <c r="L31" s="100"/>
      <c r="M31" s="100"/>
      <c r="V31" s="5"/>
      <c r="W31" s="1"/>
      <c r="X31" s="1"/>
    </row>
    <row r="32" spans="1:27" ht="17.399999999999999" x14ac:dyDescent="0.3">
      <c r="F32" s="99"/>
      <c r="G32" s="99"/>
      <c r="H32" s="99"/>
      <c r="I32" s="99"/>
      <c r="J32" s="99"/>
      <c r="K32" s="99"/>
      <c r="L32" s="100"/>
      <c r="M32" s="100"/>
      <c r="V32" s="5"/>
      <c r="W32" s="1"/>
      <c r="X32" s="1"/>
    </row>
    <row r="33" spans="6:24" ht="17.399999999999999" x14ac:dyDescent="0.3">
      <c r="F33" s="99"/>
      <c r="G33" s="99"/>
      <c r="H33" s="99"/>
      <c r="I33" s="99"/>
      <c r="J33" s="99"/>
      <c r="K33" s="99"/>
      <c r="L33" s="100"/>
      <c r="M33" s="100"/>
      <c r="V33" s="5"/>
      <c r="W33" s="1"/>
      <c r="X33" s="1"/>
    </row>
    <row r="34" spans="6:24" ht="17.399999999999999" x14ac:dyDescent="0.3">
      <c r="F34" s="99"/>
      <c r="G34" s="99"/>
      <c r="H34" s="99"/>
      <c r="I34" s="99"/>
      <c r="J34" s="99"/>
      <c r="K34" s="99"/>
      <c r="L34" s="100"/>
      <c r="M34" s="100"/>
      <c r="V34" s="6"/>
      <c r="W34" s="1"/>
      <c r="X34" s="1"/>
    </row>
    <row r="35" spans="6:24" ht="18" x14ac:dyDescent="0.35">
      <c r="F35" s="99"/>
      <c r="G35" s="99"/>
      <c r="H35" s="99"/>
      <c r="I35" s="99"/>
      <c r="J35" s="99"/>
      <c r="K35" s="99"/>
      <c r="L35" s="100"/>
      <c r="M35" s="100"/>
      <c r="V35" s="7"/>
      <c r="W35" s="2"/>
      <c r="X35" s="2"/>
    </row>
    <row r="36" spans="6:24" ht="13.8" x14ac:dyDescent="0.25">
      <c r="F36" s="101"/>
      <c r="G36" s="101"/>
      <c r="H36" s="101"/>
      <c r="I36" s="101"/>
      <c r="J36" s="101"/>
      <c r="K36" s="101"/>
      <c r="L36" s="102"/>
      <c r="M36" s="102"/>
    </row>
  </sheetData>
  <conditionalFormatting sqref="E1">
    <cfRule type="expression" dxfId="7" priority="2">
      <formula>ISBLANK(XFD1)=FALSE</formula>
    </cfRule>
  </conditionalFormatting>
  <conditionalFormatting sqref="E11">
    <cfRule type="expression" dxfId="6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6"/>
  <sheetViews>
    <sheetView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" customWidth="1"/>
    <col min="13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6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20" t="s">
        <v>4</v>
      </c>
      <c r="B2" s="26" t="str">
        <f t="shared" ref="B2:B19" si="0">IFERROR(((E2-F2)/F2),"")</f>
        <v/>
      </c>
      <c r="C2" s="49">
        <v>-81</v>
      </c>
      <c r="D2" s="1">
        <v>-1</v>
      </c>
      <c r="E2" s="105">
        <v>88</v>
      </c>
      <c r="F2" s="1">
        <v>0</v>
      </c>
      <c r="G2" s="1">
        <v>0</v>
      </c>
      <c r="H2" s="1">
        <v>0</v>
      </c>
      <c r="I2" s="1">
        <v>0</v>
      </c>
      <c r="J2" s="56"/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20" t="s">
        <v>11</v>
      </c>
      <c r="B3" s="26">
        <f t="shared" si="0"/>
        <v>0.72358292512246325</v>
      </c>
      <c r="C3" s="49">
        <v>-1352</v>
      </c>
      <c r="D3" s="1">
        <v>-1411</v>
      </c>
      <c r="E3" s="105">
        <v>2463</v>
      </c>
      <c r="F3" s="1">
        <v>1429</v>
      </c>
      <c r="G3" s="1">
        <v>1029</v>
      </c>
      <c r="H3" s="1">
        <v>1811</v>
      </c>
      <c r="I3" s="1">
        <v>1899</v>
      </c>
      <c r="J3" s="56">
        <v>654</v>
      </c>
      <c r="K3" s="1">
        <v>2494</v>
      </c>
      <c r="L3" s="1">
        <v>13</v>
      </c>
      <c r="M3" s="1">
        <v>1132</v>
      </c>
      <c r="N3" s="1">
        <v>1057</v>
      </c>
      <c r="O3" s="1">
        <v>1207</v>
      </c>
      <c r="P3" s="1">
        <v>1790</v>
      </c>
      <c r="Q3" s="1">
        <v>578</v>
      </c>
      <c r="R3" s="1">
        <v>862</v>
      </c>
      <c r="S3" s="1">
        <v>193</v>
      </c>
      <c r="T3" s="1">
        <v>339</v>
      </c>
      <c r="U3" s="1">
        <v>46</v>
      </c>
      <c r="V3" s="1">
        <v>35</v>
      </c>
      <c r="W3" s="28">
        <v>13</v>
      </c>
    </row>
    <row r="4" spans="1:23" x14ac:dyDescent="0.25">
      <c r="A4" s="20" t="s">
        <v>5</v>
      </c>
      <c r="B4" s="26" t="str">
        <f t="shared" si="0"/>
        <v/>
      </c>
      <c r="C4" s="49">
        <v>0</v>
      </c>
      <c r="D4" s="1">
        <v>0</v>
      </c>
      <c r="E4" s="105">
        <v>0</v>
      </c>
      <c r="F4" s="1">
        <v>0</v>
      </c>
      <c r="G4" s="1">
        <v>0</v>
      </c>
      <c r="H4" s="1">
        <v>0</v>
      </c>
      <c r="I4" s="1">
        <v>0</v>
      </c>
      <c r="J4" s="56"/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28">
        <v>0</v>
      </c>
    </row>
    <row r="5" spans="1:23" x14ac:dyDescent="0.25">
      <c r="A5" s="20" t="s">
        <v>2</v>
      </c>
      <c r="B5" s="26" t="str">
        <f t="shared" si="0"/>
        <v/>
      </c>
      <c r="C5" s="49">
        <v>0</v>
      </c>
      <c r="D5" s="1">
        <v>0</v>
      </c>
      <c r="E5" s="105">
        <v>0</v>
      </c>
      <c r="F5" s="1">
        <v>0</v>
      </c>
      <c r="G5" s="1">
        <v>0</v>
      </c>
      <c r="H5" s="1">
        <v>0</v>
      </c>
      <c r="I5" s="1">
        <v>0</v>
      </c>
      <c r="J5" s="56"/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28">
        <v>0</v>
      </c>
    </row>
    <row r="6" spans="1:23" x14ac:dyDescent="0.25">
      <c r="A6" s="20" t="s">
        <v>9</v>
      </c>
      <c r="B6" s="26">
        <f t="shared" si="0"/>
        <v>1.1864197530864198</v>
      </c>
      <c r="C6" s="49">
        <v>-3236</v>
      </c>
      <c r="D6" s="1">
        <v>-2870</v>
      </c>
      <c r="E6" s="105">
        <v>5313</v>
      </c>
      <c r="F6" s="1">
        <v>2430</v>
      </c>
      <c r="G6" s="1">
        <v>1618</v>
      </c>
      <c r="H6" s="1">
        <v>6773</v>
      </c>
      <c r="I6" s="1">
        <v>5834</v>
      </c>
      <c r="J6" s="56">
        <v>4690</v>
      </c>
      <c r="K6" s="1">
        <v>5021</v>
      </c>
      <c r="L6" s="1">
        <v>181</v>
      </c>
      <c r="M6" s="1">
        <v>2133</v>
      </c>
      <c r="N6" s="1">
        <v>3838</v>
      </c>
      <c r="O6" s="1">
        <v>2294</v>
      </c>
      <c r="P6" s="1">
        <v>3866</v>
      </c>
      <c r="Q6" s="1">
        <v>1891</v>
      </c>
      <c r="R6" s="1">
        <v>4932</v>
      </c>
      <c r="S6" s="1">
        <v>2980</v>
      </c>
      <c r="T6" s="1">
        <v>2555</v>
      </c>
      <c r="U6" s="1">
        <v>152</v>
      </c>
      <c r="V6" s="1">
        <v>2059</v>
      </c>
      <c r="W6" s="28">
        <v>642</v>
      </c>
    </row>
    <row r="7" spans="1:23" x14ac:dyDescent="0.25">
      <c r="A7" s="20" t="s">
        <v>114</v>
      </c>
      <c r="B7" s="26">
        <f t="shared" si="0"/>
        <v>23</v>
      </c>
      <c r="C7" s="49">
        <v>-8</v>
      </c>
      <c r="D7" s="1">
        <v>0</v>
      </c>
      <c r="E7" s="105">
        <v>24</v>
      </c>
      <c r="F7" s="1">
        <v>1</v>
      </c>
      <c r="G7" s="1">
        <v>10</v>
      </c>
      <c r="H7" s="1">
        <v>16</v>
      </c>
      <c r="I7" s="1">
        <v>0</v>
      </c>
      <c r="J7" s="56"/>
      <c r="K7" s="1">
        <v>39</v>
      </c>
      <c r="L7" s="1">
        <v>0</v>
      </c>
      <c r="M7" s="1">
        <v>27</v>
      </c>
      <c r="N7" s="1">
        <v>18</v>
      </c>
      <c r="O7" s="1">
        <v>10</v>
      </c>
      <c r="P7" s="1">
        <v>11</v>
      </c>
      <c r="Q7" s="1">
        <v>11</v>
      </c>
      <c r="R7" s="1">
        <v>14</v>
      </c>
      <c r="S7" s="1">
        <v>259</v>
      </c>
      <c r="T7" s="1">
        <v>0</v>
      </c>
      <c r="U7" s="1">
        <v>122</v>
      </c>
      <c r="V7" s="1">
        <v>50</v>
      </c>
      <c r="W7" s="28">
        <v>27</v>
      </c>
    </row>
    <row r="8" spans="1:23" x14ac:dyDescent="0.25">
      <c r="A8" s="20" t="s">
        <v>3</v>
      </c>
      <c r="B8" s="26">
        <f t="shared" si="0"/>
        <v>0.23570046974302294</v>
      </c>
      <c r="C8" s="49">
        <v>-1568</v>
      </c>
      <c r="D8" s="1">
        <v>-1109</v>
      </c>
      <c r="E8" s="105">
        <v>4472</v>
      </c>
      <c r="F8" s="1">
        <v>3619</v>
      </c>
      <c r="G8" s="1">
        <v>3221</v>
      </c>
      <c r="H8" s="1">
        <v>4834</v>
      </c>
      <c r="I8" s="1">
        <v>4038</v>
      </c>
      <c r="J8" s="56">
        <v>4195</v>
      </c>
      <c r="K8" s="1">
        <v>4443</v>
      </c>
      <c r="L8" s="1">
        <v>2317</v>
      </c>
      <c r="M8" s="79">
        <v>6398</v>
      </c>
      <c r="N8" s="79">
        <v>4562</v>
      </c>
      <c r="O8" s="79">
        <v>5854</v>
      </c>
      <c r="P8" s="79">
        <v>4195</v>
      </c>
      <c r="Q8" s="79">
        <v>6408</v>
      </c>
      <c r="R8" s="79">
        <v>6530</v>
      </c>
      <c r="S8" s="79">
        <v>7032</v>
      </c>
      <c r="T8" s="79">
        <v>8251</v>
      </c>
      <c r="U8" s="79">
        <v>8023</v>
      </c>
      <c r="V8" s="1">
        <v>7127</v>
      </c>
      <c r="W8" s="28">
        <v>9014</v>
      </c>
    </row>
    <row r="9" spans="1:23" x14ac:dyDescent="0.25">
      <c r="A9" s="20" t="s">
        <v>17</v>
      </c>
      <c r="B9" s="26">
        <f t="shared" si="0"/>
        <v>3.2</v>
      </c>
      <c r="C9" s="49">
        <v>-56</v>
      </c>
      <c r="D9" s="1">
        <v>-34</v>
      </c>
      <c r="E9" s="105">
        <v>42</v>
      </c>
      <c r="F9" s="1">
        <v>10</v>
      </c>
      <c r="G9" s="1">
        <v>21</v>
      </c>
      <c r="H9" s="1">
        <v>115</v>
      </c>
      <c r="I9" s="1">
        <v>0</v>
      </c>
      <c r="J9" s="56"/>
      <c r="K9" s="1">
        <v>24</v>
      </c>
      <c r="L9" s="1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10</v>
      </c>
      <c r="T9" s="79">
        <v>0</v>
      </c>
      <c r="U9" s="79">
        <v>0</v>
      </c>
      <c r="V9" s="1">
        <v>0</v>
      </c>
      <c r="W9" s="28">
        <v>0</v>
      </c>
    </row>
    <row r="10" spans="1:23" x14ac:dyDescent="0.25">
      <c r="A10" s="20" t="s">
        <v>10</v>
      </c>
      <c r="B10" s="26">
        <f t="shared" si="0"/>
        <v>8.6818181818181817</v>
      </c>
      <c r="C10" s="49">
        <v>-20</v>
      </c>
      <c r="D10" s="1">
        <v>-4</v>
      </c>
      <c r="E10" s="105">
        <v>213</v>
      </c>
      <c r="F10" s="1">
        <v>22</v>
      </c>
      <c r="G10" s="1">
        <v>95</v>
      </c>
      <c r="H10" s="1">
        <v>192</v>
      </c>
      <c r="I10" s="1">
        <v>65</v>
      </c>
      <c r="J10" s="56">
        <v>25</v>
      </c>
      <c r="K10" s="1">
        <v>167</v>
      </c>
      <c r="L10" s="1">
        <v>0</v>
      </c>
      <c r="M10" s="79">
        <v>118</v>
      </c>
      <c r="N10" s="79">
        <v>451</v>
      </c>
      <c r="O10" s="79">
        <v>342</v>
      </c>
      <c r="P10" s="79">
        <v>684</v>
      </c>
      <c r="Q10" s="79">
        <v>341</v>
      </c>
      <c r="R10" s="79">
        <v>276</v>
      </c>
      <c r="S10" s="79">
        <v>1351</v>
      </c>
      <c r="T10" s="79">
        <v>875</v>
      </c>
      <c r="U10" s="79">
        <v>1011</v>
      </c>
      <c r="V10" s="1">
        <v>339</v>
      </c>
      <c r="W10" s="28">
        <v>1100</v>
      </c>
    </row>
    <row r="11" spans="1:23" x14ac:dyDescent="0.25">
      <c r="A11" s="20" t="s">
        <v>27</v>
      </c>
      <c r="B11" s="26">
        <f t="shared" si="0"/>
        <v>3.7152777777777777</v>
      </c>
      <c r="C11" s="49">
        <v>-215</v>
      </c>
      <c r="D11" s="1">
        <v>-203</v>
      </c>
      <c r="E11" s="105">
        <v>1358</v>
      </c>
      <c r="F11" s="1">
        <v>288</v>
      </c>
      <c r="G11" s="1">
        <v>880</v>
      </c>
      <c r="H11" s="1">
        <v>827</v>
      </c>
      <c r="I11" s="1">
        <v>490</v>
      </c>
      <c r="J11" s="56">
        <v>554</v>
      </c>
      <c r="K11" s="1">
        <v>1207</v>
      </c>
      <c r="L11" s="1">
        <v>0</v>
      </c>
      <c r="M11" s="79">
        <v>1555</v>
      </c>
      <c r="N11" s="79">
        <v>1046</v>
      </c>
      <c r="O11" s="79">
        <v>1261</v>
      </c>
      <c r="P11" s="79">
        <v>1336</v>
      </c>
      <c r="Q11" s="79">
        <v>1186</v>
      </c>
      <c r="R11" s="79">
        <v>1819</v>
      </c>
      <c r="S11" s="79">
        <v>1251</v>
      </c>
      <c r="T11" s="79">
        <v>1467</v>
      </c>
      <c r="U11" s="79">
        <v>1401</v>
      </c>
      <c r="V11" s="1">
        <v>1146</v>
      </c>
      <c r="W11" s="28">
        <v>1394</v>
      </c>
    </row>
    <row r="12" spans="1:23" x14ac:dyDescent="0.25">
      <c r="A12" s="20" t="s">
        <v>115</v>
      </c>
      <c r="B12" s="26" t="str">
        <f t="shared" si="0"/>
        <v/>
      </c>
      <c r="C12" s="49">
        <v>-24</v>
      </c>
      <c r="D12" s="1">
        <v>0</v>
      </c>
      <c r="E12" s="105">
        <v>130</v>
      </c>
      <c r="F12" s="1">
        <v>0</v>
      </c>
      <c r="G12" s="1">
        <v>0</v>
      </c>
      <c r="H12" s="1">
        <v>0</v>
      </c>
      <c r="I12" s="1">
        <v>0</v>
      </c>
      <c r="J12" s="56"/>
      <c r="K12" s="1">
        <v>73</v>
      </c>
      <c r="L12" s="1">
        <v>0</v>
      </c>
      <c r="M12" s="79">
        <v>4</v>
      </c>
      <c r="N12" s="79">
        <v>0</v>
      </c>
      <c r="O12" s="79">
        <v>24</v>
      </c>
      <c r="P12" s="79">
        <v>51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1">
        <v>0</v>
      </c>
      <c r="W12" s="28">
        <v>16</v>
      </c>
    </row>
    <row r="13" spans="1:23" x14ac:dyDescent="0.25">
      <c r="A13" s="20" t="s">
        <v>116</v>
      </c>
      <c r="B13" s="26">
        <f t="shared" si="0"/>
        <v>0.35</v>
      </c>
      <c r="C13" s="49">
        <v>-3</v>
      </c>
      <c r="D13" s="1">
        <v>9</v>
      </c>
      <c r="E13" s="105">
        <v>27</v>
      </c>
      <c r="F13" s="1">
        <v>20</v>
      </c>
      <c r="G13" s="1">
        <v>56</v>
      </c>
      <c r="H13" s="1">
        <v>41</v>
      </c>
      <c r="I13" s="1">
        <v>38</v>
      </c>
      <c r="J13" s="56"/>
      <c r="K13" s="1">
        <v>132</v>
      </c>
      <c r="L13" s="1">
        <v>0</v>
      </c>
      <c r="M13" s="79">
        <v>110</v>
      </c>
      <c r="N13" s="79">
        <v>101</v>
      </c>
      <c r="O13" s="79">
        <v>427</v>
      </c>
      <c r="P13" s="79">
        <v>375</v>
      </c>
      <c r="Q13" s="79">
        <v>610</v>
      </c>
      <c r="R13" s="79">
        <v>859</v>
      </c>
      <c r="S13" s="79">
        <v>2133</v>
      </c>
      <c r="T13" s="79">
        <v>1891</v>
      </c>
      <c r="U13" s="79">
        <v>1237</v>
      </c>
      <c r="V13" s="1">
        <v>1292</v>
      </c>
      <c r="W13" s="28">
        <v>3290</v>
      </c>
    </row>
    <row r="14" spans="1:23" x14ac:dyDescent="0.25">
      <c r="A14" s="20" t="s">
        <v>13</v>
      </c>
      <c r="B14" s="26">
        <f t="shared" si="0"/>
        <v>0.75</v>
      </c>
      <c r="C14" s="49">
        <v>-102</v>
      </c>
      <c r="D14" s="1">
        <v>-32</v>
      </c>
      <c r="E14" s="105">
        <v>84</v>
      </c>
      <c r="F14" s="1">
        <v>48</v>
      </c>
      <c r="G14" s="1">
        <v>23</v>
      </c>
      <c r="H14" s="1">
        <v>10</v>
      </c>
      <c r="I14" s="1">
        <v>47</v>
      </c>
      <c r="J14" s="56"/>
      <c r="K14" s="1">
        <v>34</v>
      </c>
      <c r="L14" s="1">
        <v>0</v>
      </c>
      <c r="M14" s="79">
        <v>32</v>
      </c>
      <c r="N14" s="79">
        <v>9</v>
      </c>
      <c r="O14" s="79">
        <v>5</v>
      </c>
      <c r="P14" s="79">
        <v>157</v>
      </c>
      <c r="Q14" s="79">
        <v>231</v>
      </c>
      <c r="R14" s="79">
        <v>358</v>
      </c>
      <c r="S14" s="79">
        <v>173</v>
      </c>
      <c r="T14" s="79">
        <v>160</v>
      </c>
      <c r="U14" s="79">
        <v>67</v>
      </c>
      <c r="V14" s="1">
        <v>41</v>
      </c>
      <c r="W14" s="28">
        <v>43</v>
      </c>
    </row>
    <row r="15" spans="1:23" x14ac:dyDescent="0.25">
      <c r="A15" s="20" t="s">
        <v>117</v>
      </c>
      <c r="B15" s="26" t="str">
        <f t="shared" si="0"/>
        <v/>
      </c>
      <c r="C15" s="49">
        <v>0</v>
      </c>
      <c r="D15" s="1">
        <v>0</v>
      </c>
      <c r="E15" s="105">
        <v>0</v>
      </c>
      <c r="F15" s="1">
        <v>0</v>
      </c>
      <c r="G15" s="1">
        <v>0</v>
      </c>
      <c r="H15" s="1">
        <v>0</v>
      </c>
      <c r="I15" s="1">
        <v>0</v>
      </c>
      <c r="J15" s="56"/>
      <c r="K15" s="1">
        <v>0</v>
      </c>
      <c r="L15" s="1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1">
        <v>0</v>
      </c>
      <c r="W15" s="28">
        <v>0</v>
      </c>
    </row>
    <row r="16" spans="1:23" x14ac:dyDescent="0.25">
      <c r="A16" s="20" t="s">
        <v>98</v>
      </c>
      <c r="B16" s="26" t="str">
        <f t="shared" si="0"/>
        <v/>
      </c>
      <c r="C16" s="49">
        <v>-151</v>
      </c>
      <c r="D16" s="1">
        <v>-25</v>
      </c>
      <c r="E16" s="105">
        <v>126</v>
      </c>
      <c r="F16" s="1">
        <v>0</v>
      </c>
      <c r="G16" s="1">
        <v>12</v>
      </c>
      <c r="H16" s="1">
        <v>4</v>
      </c>
      <c r="I16" s="1">
        <v>26</v>
      </c>
      <c r="J16" s="56"/>
      <c r="K16" s="1">
        <v>65</v>
      </c>
      <c r="L16" s="1">
        <v>0</v>
      </c>
      <c r="M16" s="79">
        <v>13</v>
      </c>
      <c r="N16" s="79">
        <v>8</v>
      </c>
      <c r="O16" s="79">
        <v>14</v>
      </c>
      <c r="P16" s="79">
        <v>132.5</v>
      </c>
      <c r="Q16" s="79">
        <v>5</v>
      </c>
      <c r="R16" s="79">
        <v>89</v>
      </c>
      <c r="S16" s="79">
        <v>111</v>
      </c>
      <c r="T16" s="79">
        <v>56</v>
      </c>
      <c r="U16" s="79">
        <v>32</v>
      </c>
      <c r="V16" s="1">
        <v>28</v>
      </c>
      <c r="W16" s="28">
        <v>17</v>
      </c>
    </row>
    <row r="17" spans="1:23" x14ac:dyDescent="0.25">
      <c r="A17" s="39" t="s">
        <v>89</v>
      </c>
      <c r="B17" s="26">
        <f t="shared" si="0"/>
        <v>2.3156981786643538</v>
      </c>
      <c r="C17" s="49">
        <v>-1769</v>
      </c>
      <c r="D17" s="1">
        <v>-1318</v>
      </c>
      <c r="E17" s="105">
        <v>3823</v>
      </c>
      <c r="F17" s="1">
        <v>1153</v>
      </c>
      <c r="G17" s="1">
        <v>2361</v>
      </c>
      <c r="H17" s="1">
        <v>3230</v>
      </c>
      <c r="I17" s="1">
        <v>2161</v>
      </c>
      <c r="J17" s="56">
        <v>1589</v>
      </c>
      <c r="K17" s="1">
        <v>3272</v>
      </c>
      <c r="L17" s="1">
        <v>532</v>
      </c>
      <c r="M17" s="79">
        <v>1891</v>
      </c>
      <c r="N17" s="79">
        <v>1910</v>
      </c>
      <c r="O17" s="79">
        <v>2971</v>
      </c>
      <c r="P17" s="79">
        <v>2832</v>
      </c>
      <c r="Q17" s="79">
        <v>1061</v>
      </c>
      <c r="R17" s="79">
        <v>1571</v>
      </c>
      <c r="S17" s="79">
        <v>226</v>
      </c>
      <c r="T17" s="79">
        <f>3+17+481</f>
        <v>501</v>
      </c>
      <c r="U17" s="79">
        <v>132</v>
      </c>
      <c r="V17" s="1">
        <v>113</v>
      </c>
      <c r="W17" s="28">
        <v>27</v>
      </c>
    </row>
    <row r="18" spans="1:23" ht="13.8" thickBot="1" x14ac:dyDescent="0.3">
      <c r="A18" s="22" t="s">
        <v>60</v>
      </c>
      <c r="B18" s="27">
        <f t="shared" si="0"/>
        <v>3.8357142857142859</v>
      </c>
      <c r="C18" s="50">
        <v>-620</v>
      </c>
      <c r="D18" s="10">
        <v>-662</v>
      </c>
      <c r="E18" s="106">
        <f>908+538+585</f>
        <v>2031</v>
      </c>
      <c r="F18" s="10">
        <v>420</v>
      </c>
      <c r="G18" s="10">
        <v>755</v>
      </c>
      <c r="H18" s="10">
        <v>777</v>
      </c>
      <c r="I18" s="10">
        <v>1078</v>
      </c>
      <c r="J18" s="60">
        <v>450</v>
      </c>
      <c r="K18" s="10">
        <f>297+248+1712</f>
        <v>2257</v>
      </c>
      <c r="L18" s="10">
        <v>76</v>
      </c>
      <c r="M18" s="80">
        <v>1220</v>
      </c>
      <c r="N18" s="80">
        <v>313</v>
      </c>
      <c r="O18" s="80">
        <v>278</v>
      </c>
      <c r="P18" s="80">
        <v>475.5</v>
      </c>
      <c r="Q18" s="80">
        <v>53</v>
      </c>
      <c r="R18" s="80">
        <v>276</v>
      </c>
      <c r="S18" s="80">
        <v>78</v>
      </c>
      <c r="T18" s="80">
        <v>177</v>
      </c>
      <c r="U18" s="80">
        <v>88</v>
      </c>
      <c r="V18" s="10">
        <v>172</v>
      </c>
      <c r="W18" s="30">
        <v>68</v>
      </c>
    </row>
    <row r="19" spans="1:23" ht="13.8" thickBot="1" x14ac:dyDescent="0.3">
      <c r="A19" s="31" t="s">
        <v>23</v>
      </c>
      <c r="B19" s="32">
        <f t="shared" si="0"/>
        <v>1.1391949152542373</v>
      </c>
      <c r="C19" s="123">
        <v>-9205</v>
      </c>
      <c r="D19" s="33">
        <v>-7660</v>
      </c>
      <c r="E19" s="97">
        <f>SUM(E2:E18)</f>
        <v>20194</v>
      </c>
      <c r="F19" s="33">
        <f t="shared" ref="F19:K19" si="1">SUM(F2:F18)</f>
        <v>9440</v>
      </c>
      <c r="G19" s="33">
        <f t="shared" si="1"/>
        <v>10081</v>
      </c>
      <c r="H19" s="33">
        <f t="shared" si="1"/>
        <v>18630</v>
      </c>
      <c r="I19" s="33">
        <f t="shared" si="1"/>
        <v>15676</v>
      </c>
      <c r="J19" s="98">
        <f t="shared" si="1"/>
        <v>12157</v>
      </c>
      <c r="K19" s="33">
        <f t="shared" si="1"/>
        <v>19228</v>
      </c>
      <c r="L19" s="33">
        <f t="shared" ref="L19:Q19" si="2">SUM(L2:L18)</f>
        <v>3119</v>
      </c>
      <c r="M19" s="33">
        <f t="shared" si="2"/>
        <v>14633</v>
      </c>
      <c r="N19" s="33">
        <f t="shared" si="2"/>
        <v>13313</v>
      </c>
      <c r="O19" s="33">
        <f t="shared" si="2"/>
        <v>14687</v>
      </c>
      <c r="P19" s="33">
        <f t="shared" si="2"/>
        <v>15905</v>
      </c>
      <c r="Q19" s="33">
        <f t="shared" si="2"/>
        <v>12375</v>
      </c>
      <c r="R19" s="33">
        <f t="shared" ref="R19:W19" si="3">SUM(R2:R18)</f>
        <v>17586</v>
      </c>
      <c r="S19" s="33">
        <f t="shared" si="3"/>
        <v>15797</v>
      </c>
      <c r="T19" s="33">
        <f t="shared" si="3"/>
        <v>16272</v>
      </c>
      <c r="U19" s="33">
        <f t="shared" si="3"/>
        <v>12311</v>
      </c>
      <c r="V19" s="33">
        <f t="shared" si="3"/>
        <v>12402</v>
      </c>
      <c r="W19" s="34">
        <f t="shared" si="3"/>
        <v>15651</v>
      </c>
    </row>
    <row r="20" spans="1:23" x14ac:dyDescent="0.25">
      <c r="B20" s="35"/>
      <c r="C20" s="35"/>
      <c r="D20" s="35"/>
      <c r="E20" s="35"/>
      <c r="F20" s="35"/>
      <c r="G20" s="35"/>
      <c r="H20" s="35"/>
      <c r="I20" s="35"/>
      <c r="J20" s="117"/>
      <c r="K20" s="35"/>
      <c r="L20" s="35"/>
    </row>
    <row r="21" spans="1:23" ht="13.8" thickBot="1" x14ac:dyDescent="0.3">
      <c r="B21" s="35"/>
      <c r="C21" s="35"/>
      <c r="D21" s="35"/>
      <c r="E21" s="35"/>
      <c r="F21" s="35"/>
      <c r="G21" s="35"/>
      <c r="H21" s="35"/>
      <c r="I21" s="35"/>
      <c r="J21" s="117"/>
      <c r="K21" s="35"/>
      <c r="L21" s="35"/>
    </row>
    <row r="22" spans="1:23" ht="13.8" thickBot="1" x14ac:dyDescent="0.3">
      <c r="A22" s="23" t="s">
        <v>25</v>
      </c>
      <c r="B22" s="118" t="s">
        <v>171</v>
      </c>
      <c r="C22" s="48" t="s">
        <v>172</v>
      </c>
      <c r="D22" s="78" t="s">
        <v>169</v>
      </c>
      <c r="E22" s="104">
        <v>45809</v>
      </c>
      <c r="F22" s="110">
        <v>45444</v>
      </c>
      <c r="G22" s="110">
        <v>45078</v>
      </c>
      <c r="H22" s="110">
        <v>44713</v>
      </c>
      <c r="I22" s="110">
        <v>44348</v>
      </c>
      <c r="J22" s="116">
        <v>43983</v>
      </c>
      <c r="K22" s="110">
        <v>43617</v>
      </c>
      <c r="L22" s="110">
        <v>43252</v>
      </c>
      <c r="M22" s="24">
        <v>42887</v>
      </c>
      <c r="N22" s="24">
        <v>42522</v>
      </c>
      <c r="O22" s="24">
        <v>42156</v>
      </c>
      <c r="P22" s="24">
        <v>41791</v>
      </c>
      <c r="Q22" s="24">
        <v>41426</v>
      </c>
      <c r="R22" s="24">
        <v>41061</v>
      </c>
      <c r="S22" s="24">
        <v>40695</v>
      </c>
      <c r="T22" s="24">
        <v>40330</v>
      </c>
      <c r="U22" s="24">
        <v>39965</v>
      </c>
      <c r="V22" s="24">
        <v>39600</v>
      </c>
      <c r="W22" s="25">
        <v>39234</v>
      </c>
    </row>
    <row r="23" spans="1:23" x14ac:dyDescent="0.25">
      <c r="A23" s="20" t="s">
        <v>118</v>
      </c>
      <c r="B23" s="26" t="str">
        <f t="shared" ref="B23:B28" si="4">IFERROR(((E23-F23)/F23),"")</f>
        <v/>
      </c>
      <c r="C23" s="49">
        <v>-496</v>
      </c>
      <c r="D23" s="1">
        <v>-204</v>
      </c>
      <c r="E23" s="105">
        <v>180</v>
      </c>
      <c r="F23" s="1"/>
      <c r="G23" s="1">
        <v>0</v>
      </c>
      <c r="H23" s="1"/>
      <c r="I23" s="1">
        <v>53</v>
      </c>
      <c r="J23" s="56"/>
      <c r="K23" s="1">
        <v>0</v>
      </c>
      <c r="L23" s="1">
        <v>0</v>
      </c>
      <c r="M23" s="1">
        <v>0</v>
      </c>
      <c r="N23" s="1">
        <v>10</v>
      </c>
      <c r="O23" s="1">
        <v>24</v>
      </c>
      <c r="P23" s="1">
        <v>0</v>
      </c>
      <c r="Q23" s="1">
        <v>0</v>
      </c>
      <c r="R23" s="1">
        <v>2</v>
      </c>
      <c r="S23" s="1">
        <v>0</v>
      </c>
      <c r="T23" s="1">
        <v>2</v>
      </c>
      <c r="U23" s="1">
        <v>0</v>
      </c>
      <c r="V23" s="1">
        <v>0</v>
      </c>
      <c r="W23" s="28">
        <v>0</v>
      </c>
    </row>
    <row r="24" spans="1:23" x14ac:dyDescent="0.25">
      <c r="A24" s="20" t="s">
        <v>7</v>
      </c>
      <c r="B24" s="26" t="str">
        <f t="shared" si="4"/>
        <v/>
      </c>
      <c r="C24" s="49">
        <v>-4</v>
      </c>
      <c r="D24" s="1">
        <v>-1</v>
      </c>
      <c r="E24" s="105">
        <v>0</v>
      </c>
      <c r="F24" s="1"/>
      <c r="G24" s="1">
        <v>0</v>
      </c>
      <c r="H24" s="1"/>
      <c r="I24" s="1"/>
      <c r="J24" s="56"/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140</v>
      </c>
      <c r="S24" s="1">
        <v>0</v>
      </c>
      <c r="T24" s="1">
        <v>0</v>
      </c>
      <c r="U24" s="1">
        <v>0</v>
      </c>
      <c r="V24" s="1">
        <v>0</v>
      </c>
      <c r="W24" s="28">
        <v>0</v>
      </c>
    </row>
    <row r="25" spans="1:23" x14ac:dyDescent="0.25">
      <c r="A25" s="20" t="s">
        <v>119</v>
      </c>
      <c r="B25" s="26" t="str">
        <f t="shared" si="4"/>
        <v/>
      </c>
      <c r="C25" s="49">
        <v>0</v>
      </c>
      <c r="D25" s="1">
        <v>0</v>
      </c>
      <c r="E25" s="105">
        <v>0</v>
      </c>
      <c r="F25" s="1"/>
      <c r="G25" s="1">
        <v>0</v>
      </c>
      <c r="H25" s="1"/>
      <c r="I25" s="1"/>
      <c r="J25" s="56"/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28">
        <v>0</v>
      </c>
    </row>
    <row r="26" spans="1:23" x14ac:dyDescent="0.25">
      <c r="A26" s="20" t="s">
        <v>143</v>
      </c>
      <c r="B26" s="26" t="str">
        <f t="shared" si="4"/>
        <v/>
      </c>
      <c r="C26" s="49">
        <v>0</v>
      </c>
      <c r="D26" s="1">
        <v>0</v>
      </c>
      <c r="E26" s="105">
        <v>0</v>
      </c>
      <c r="F26" s="1"/>
      <c r="G26" s="1">
        <v>0</v>
      </c>
      <c r="H26" s="1">
        <v>0</v>
      </c>
      <c r="I26" s="1">
        <v>0</v>
      </c>
      <c r="J26" s="56">
        <v>0</v>
      </c>
      <c r="K26" s="1">
        <v>0</v>
      </c>
      <c r="L26" s="1">
        <v>0</v>
      </c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28"/>
    </row>
    <row r="27" spans="1:23" ht="13.8" thickBot="1" x14ac:dyDescent="0.3">
      <c r="A27" s="29" t="s">
        <v>60</v>
      </c>
      <c r="B27" s="27" t="str">
        <f t="shared" si="4"/>
        <v/>
      </c>
      <c r="C27" s="50">
        <v>-11</v>
      </c>
      <c r="D27" s="10">
        <v>-49</v>
      </c>
      <c r="E27" s="106">
        <v>0</v>
      </c>
      <c r="F27" s="10"/>
      <c r="G27" s="10">
        <v>0</v>
      </c>
      <c r="H27" s="10">
        <v>3</v>
      </c>
      <c r="I27" s="10"/>
      <c r="J27" s="60">
        <v>5</v>
      </c>
      <c r="K27" s="10">
        <v>7</v>
      </c>
      <c r="L27" s="10">
        <v>0</v>
      </c>
      <c r="M27" s="10">
        <v>0</v>
      </c>
      <c r="N27" s="10">
        <v>0</v>
      </c>
      <c r="O27" s="10">
        <v>1</v>
      </c>
      <c r="P27" s="10">
        <v>0</v>
      </c>
      <c r="Q27" s="10">
        <v>0</v>
      </c>
      <c r="R27" s="10">
        <v>26</v>
      </c>
      <c r="S27" s="10">
        <v>0</v>
      </c>
      <c r="T27" s="10">
        <v>0</v>
      </c>
      <c r="U27" s="10">
        <v>0</v>
      </c>
      <c r="V27" s="10">
        <v>1</v>
      </c>
      <c r="W27" s="30">
        <v>0</v>
      </c>
    </row>
    <row r="28" spans="1:23" ht="13.8" thickBot="1" x14ac:dyDescent="0.3">
      <c r="A28" s="31" t="s">
        <v>23</v>
      </c>
      <c r="B28" s="32" t="str">
        <f t="shared" si="4"/>
        <v/>
      </c>
      <c r="C28" s="123">
        <v>-511</v>
      </c>
      <c r="D28" s="33">
        <v>-254</v>
      </c>
      <c r="E28" s="97">
        <f>SUM(E23:E27)</f>
        <v>180</v>
      </c>
      <c r="F28" s="33">
        <f t="shared" ref="F28:K28" si="5">SUM(F23:F27)</f>
        <v>0</v>
      </c>
      <c r="G28" s="33">
        <f t="shared" si="5"/>
        <v>0</v>
      </c>
      <c r="H28" s="33">
        <f t="shared" si="5"/>
        <v>3</v>
      </c>
      <c r="I28" s="33">
        <f t="shared" si="5"/>
        <v>53</v>
      </c>
      <c r="J28" s="98">
        <f t="shared" si="5"/>
        <v>5</v>
      </c>
      <c r="K28" s="33">
        <f t="shared" si="5"/>
        <v>7</v>
      </c>
      <c r="L28" s="33">
        <v>0</v>
      </c>
      <c r="M28" s="33">
        <v>0</v>
      </c>
      <c r="N28" s="33">
        <f t="shared" ref="N28:W28" si="6">SUM(N23:N27)</f>
        <v>10</v>
      </c>
      <c r="O28" s="33">
        <f t="shared" si="6"/>
        <v>25</v>
      </c>
      <c r="P28" s="33">
        <f t="shared" si="6"/>
        <v>0</v>
      </c>
      <c r="Q28" s="33">
        <f t="shared" si="6"/>
        <v>0</v>
      </c>
      <c r="R28" s="33">
        <f t="shared" si="6"/>
        <v>168</v>
      </c>
      <c r="S28" s="33">
        <f t="shared" si="6"/>
        <v>0</v>
      </c>
      <c r="T28" s="33">
        <f t="shared" si="6"/>
        <v>2</v>
      </c>
      <c r="U28" s="33">
        <f t="shared" si="6"/>
        <v>0</v>
      </c>
      <c r="V28" s="33">
        <f t="shared" si="6"/>
        <v>1</v>
      </c>
      <c r="W28" s="34">
        <f t="shared" si="6"/>
        <v>0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5" priority="2">
      <formula>ISBLANK(XFD1)=FALSE</formula>
    </cfRule>
  </conditionalFormatting>
  <conditionalFormatting sqref="E22">
    <cfRule type="expression" dxfId="4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  <ignoredErrors>
    <ignoredError sqref="H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7"/>
  <sheetViews>
    <sheetView zoomScaleNormal="100" workbookViewId="0"/>
  </sheetViews>
  <sheetFormatPr defaultColWidth="9.109375" defaultRowHeight="13.2" x14ac:dyDescent="0.25"/>
  <cols>
    <col min="1" max="1" width="23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  <col min="25" max="25" width="1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20" t="s">
        <v>4</v>
      </c>
      <c r="B2" s="26" t="str">
        <f t="shared" ref="B2:B8" si="0">IFERROR(((E2-F2)/F2),"")</f>
        <v/>
      </c>
      <c r="C2" s="49">
        <v>0</v>
      </c>
      <c r="D2" s="1">
        <v>0</v>
      </c>
      <c r="E2" s="105">
        <v>0</v>
      </c>
      <c r="F2" s="1">
        <v>0</v>
      </c>
      <c r="G2" s="1">
        <v>129</v>
      </c>
      <c r="H2" s="1">
        <v>333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20" t="s">
        <v>2</v>
      </c>
      <c r="B3" s="26">
        <f t="shared" si="0"/>
        <v>6.1342857142857143</v>
      </c>
      <c r="C3" s="49">
        <v>-5004</v>
      </c>
      <c r="D3" s="1">
        <v>-7187</v>
      </c>
      <c r="E3" s="105">
        <v>4994</v>
      </c>
      <c r="F3" s="1">
        <v>700</v>
      </c>
      <c r="G3" s="1">
        <v>5345</v>
      </c>
      <c r="H3" s="1">
        <v>7553</v>
      </c>
      <c r="I3" s="1">
        <v>769</v>
      </c>
      <c r="J3" s="1">
        <v>6515</v>
      </c>
      <c r="K3" s="1">
        <v>2080.2031999999999</v>
      </c>
      <c r="L3" s="1">
        <v>373</v>
      </c>
      <c r="M3" s="1">
        <v>7021</v>
      </c>
      <c r="N3" s="1">
        <v>6190</v>
      </c>
      <c r="O3" s="1">
        <v>11426</v>
      </c>
      <c r="P3" s="1">
        <v>8000</v>
      </c>
      <c r="Q3" s="1">
        <v>3000</v>
      </c>
      <c r="R3" s="1">
        <v>8000</v>
      </c>
      <c r="S3" s="1">
        <v>5000</v>
      </c>
      <c r="T3" s="1">
        <v>9000</v>
      </c>
      <c r="U3" s="1">
        <v>6000</v>
      </c>
      <c r="V3" s="1">
        <v>5000</v>
      </c>
      <c r="W3" s="28">
        <v>6000</v>
      </c>
    </row>
    <row r="4" spans="1:23" x14ac:dyDescent="0.25">
      <c r="A4" s="20" t="s">
        <v>3</v>
      </c>
      <c r="B4" s="26">
        <f t="shared" si="0"/>
        <v>-0.93503727369542067</v>
      </c>
      <c r="C4" s="49">
        <v>-304</v>
      </c>
      <c r="D4" s="1">
        <v>-380</v>
      </c>
      <c r="E4" s="105">
        <v>61</v>
      </c>
      <c r="F4" s="1">
        <v>939</v>
      </c>
      <c r="G4" s="1">
        <v>1238</v>
      </c>
      <c r="H4" s="1">
        <v>1239</v>
      </c>
      <c r="I4" s="1">
        <v>1701</v>
      </c>
      <c r="J4" s="1">
        <v>1499</v>
      </c>
      <c r="K4" s="1">
        <v>2484.16</v>
      </c>
      <c r="L4" s="1">
        <v>2715</v>
      </c>
      <c r="M4" s="1">
        <v>4232</v>
      </c>
      <c r="N4" s="1">
        <v>4639</v>
      </c>
      <c r="O4" s="1">
        <v>5407</v>
      </c>
      <c r="P4" s="1">
        <v>4000</v>
      </c>
      <c r="Q4" s="1">
        <v>4000</v>
      </c>
      <c r="R4" s="1">
        <v>3000</v>
      </c>
      <c r="S4" s="1">
        <v>4000</v>
      </c>
      <c r="T4" s="1">
        <v>5000</v>
      </c>
      <c r="U4" s="1">
        <v>6000</v>
      </c>
      <c r="V4" s="1">
        <v>5000</v>
      </c>
      <c r="W4" s="28">
        <v>5000</v>
      </c>
    </row>
    <row r="5" spans="1:23" x14ac:dyDescent="0.25">
      <c r="A5" s="20" t="s">
        <v>109</v>
      </c>
      <c r="B5" s="26">
        <f t="shared" si="0"/>
        <v>9.011020672765252E-2</v>
      </c>
      <c r="C5" s="49">
        <v>-3002</v>
      </c>
      <c r="D5" s="1">
        <v>-4520</v>
      </c>
      <c r="E5" s="105">
        <v>15134</v>
      </c>
      <c r="F5" s="1">
        <v>13883</v>
      </c>
      <c r="G5" s="1">
        <v>18402</v>
      </c>
      <c r="H5" s="1">
        <v>17861</v>
      </c>
      <c r="I5" s="1">
        <v>15573</v>
      </c>
      <c r="J5" s="1">
        <v>19003</v>
      </c>
      <c r="K5" s="1">
        <v>18214.4866</v>
      </c>
      <c r="L5" s="1">
        <v>12883</v>
      </c>
      <c r="M5" s="79">
        <v>30788</v>
      </c>
      <c r="N5" s="79">
        <v>27896</v>
      </c>
      <c r="O5" s="79">
        <v>33667</v>
      </c>
      <c r="P5" s="79">
        <v>24000</v>
      </c>
      <c r="Q5" s="79">
        <v>21000</v>
      </c>
      <c r="R5" s="79">
        <v>41000</v>
      </c>
      <c r="S5" s="79">
        <v>22000</v>
      </c>
      <c r="T5" s="79">
        <v>40000</v>
      </c>
      <c r="U5" s="79">
        <v>35000</v>
      </c>
      <c r="V5" s="1">
        <v>33000</v>
      </c>
      <c r="W5" s="28">
        <v>33000</v>
      </c>
    </row>
    <row r="6" spans="1:23" x14ac:dyDescent="0.25">
      <c r="A6" s="20" t="s">
        <v>136</v>
      </c>
      <c r="B6" s="26">
        <f t="shared" si="0"/>
        <v>0.2568278626910549</v>
      </c>
      <c r="C6" s="49">
        <v>-1921</v>
      </c>
      <c r="D6" s="1">
        <v>-3473</v>
      </c>
      <c r="E6" s="105">
        <v>5016</v>
      </c>
      <c r="F6" s="1">
        <v>3991</v>
      </c>
      <c r="G6" s="1">
        <v>10386</v>
      </c>
      <c r="H6" s="1">
        <v>9024</v>
      </c>
      <c r="I6" s="1">
        <v>6882</v>
      </c>
      <c r="J6" s="1">
        <v>9799</v>
      </c>
      <c r="K6" s="1">
        <v>12397.0296</v>
      </c>
      <c r="L6" s="1">
        <v>1390</v>
      </c>
      <c r="M6" s="79">
        <v>14357</v>
      </c>
      <c r="N6" s="79">
        <v>9569</v>
      </c>
      <c r="O6" s="79">
        <v>10249</v>
      </c>
      <c r="P6" s="79"/>
      <c r="Q6" s="79"/>
      <c r="R6" s="79"/>
      <c r="S6" s="79"/>
      <c r="T6" s="79"/>
      <c r="U6" s="79"/>
      <c r="V6" s="1"/>
      <c r="W6" s="28"/>
    </row>
    <row r="7" spans="1:23" ht="13.8" thickBot="1" x14ac:dyDescent="0.3">
      <c r="A7" s="29" t="s">
        <v>60</v>
      </c>
      <c r="B7" s="27">
        <f t="shared" si="0"/>
        <v>-0.47305389221556887</v>
      </c>
      <c r="C7" s="50">
        <v>-424</v>
      </c>
      <c r="D7" s="10">
        <v>-100</v>
      </c>
      <c r="E7" s="106">
        <v>88</v>
      </c>
      <c r="F7" s="10">
        <v>167</v>
      </c>
      <c r="G7" s="10">
        <v>288</v>
      </c>
      <c r="H7" s="10">
        <v>517</v>
      </c>
      <c r="I7" s="10">
        <v>971</v>
      </c>
      <c r="J7" s="10">
        <v>858</v>
      </c>
      <c r="K7" s="10">
        <v>1374.7380000000001</v>
      </c>
      <c r="L7" s="10">
        <v>336</v>
      </c>
      <c r="M7" s="80">
        <v>480</v>
      </c>
      <c r="N7" s="80">
        <v>0</v>
      </c>
      <c r="O7" s="80">
        <v>534</v>
      </c>
      <c r="P7" s="80">
        <v>10000</v>
      </c>
      <c r="Q7" s="80">
        <v>5000</v>
      </c>
      <c r="R7" s="80">
        <v>7000</v>
      </c>
      <c r="S7" s="80">
        <v>5000</v>
      </c>
      <c r="T7" s="80">
        <v>4000</v>
      </c>
      <c r="U7" s="80">
        <v>0</v>
      </c>
      <c r="V7" s="10">
        <v>0</v>
      </c>
      <c r="W7" s="30">
        <v>0</v>
      </c>
    </row>
    <row r="8" spans="1:23" ht="13.8" thickBot="1" x14ac:dyDescent="0.3">
      <c r="A8" s="31" t="s">
        <v>23</v>
      </c>
      <c r="B8" s="32">
        <f t="shared" si="0"/>
        <v>0.28521341463414634</v>
      </c>
      <c r="C8" s="123">
        <v>-10655</v>
      </c>
      <c r="D8" s="33">
        <v>-15660</v>
      </c>
      <c r="E8" s="97">
        <f t="shared" ref="E8" si="1">SUM(E2:E7)</f>
        <v>25293</v>
      </c>
      <c r="F8" s="33">
        <f t="shared" ref="F8:O8" si="2">SUM(F2:F7)</f>
        <v>19680</v>
      </c>
      <c r="G8" s="33">
        <f t="shared" si="2"/>
        <v>35788</v>
      </c>
      <c r="H8" s="33">
        <f t="shared" si="2"/>
        <v>36527</v>
      </c>
      <c r="I8" s="33">
        <f t="shared" si="2"/>
        <v>25896</v>
      </c>
      <c r="J8" s="33">
        <f t="shared" si="2"/>
        <v>37674</v>
      </c>
      <c r="K8" s="33">
        <f t="shared" si="2"/>
        <v>36550.617399999996</v>
      </c>
      <c r="L8" s="33">
        <f t="shared" si="2"/>
        <v>17697</v>
      </c>
      <c r="M8" s="33">
        <f t="shared" si="2"/>
        <v>56878</v>
      </c>
      <c r="N8" s="33">
        <f t="shared" si="2"/>
        <v>48294</v>
      </c>
      <c r="O8" s="33">
        <f t="shared" si="2"/>
        <v>61283</v>
      </c>
      <c r="P8" s="33">
        <f t="shared" ref="P8:W8" si="3">SUM(P2:P7)</f>
        <v>46000</v>
      </c>
      <c r="Q8" s="33">
        <f t="shared" si="3"/>
        <v>33000</v>
      </c>
      <c r="R8" s="33">
        <f t="shared" si="3"/>
        <v>59000</v>
      </c>
      <c r="S8" s="33">
        <f t="shared" si="3"/>
        <v>36000</v>
      </c>
      <c r="T8" s="33">
        <f t="shared" si="3"/>
        <v>58000</v>
      </c>
      <c r="U8" s="33">
        <f t="shared" si="3"/>
        <v>47000</v>
      </c>
      <c r="V8" s="33">
        <f t="shared" si="3"/>
        <v>43000</v>
      </c>
      <c r="W8" s="34">
        <f t="shared" si="3"/>
        <v>44000</v>
      </c>
    </row>
    <row r="9" spans="1:23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3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23" ht="13.8" thickBot="1" x14ac:dyDescent="0.3">
      <c r="A11" s="23" t="s">
        <v>25</v>
      </c>
      <c r="B11" s="118" t="s">
        <v>171</v>
      </c>
      <c r="C11" s="48" t="s">
        <v>172</v>
      </c>
      <c r="D11" s="78" t="s">
        <v>169</v>
      </c>
      <c r="E11" s="104">
        <v>45809</v>
      </c>
      <c r="F11" s="110">
        <v>45444</v>
      </c>
      <c r="G11" s="110">
        <v>45078</v>
      </c>
      <c r="H11" s="110">
        <v>44713</v>
      </c>
      <c r="I11" s="110">
        <v>44348</v>
      </c>
      <c r="J11" s="110">
        <v>43983</v>
      </c>
      <c r="K11" s="110">
        <v>43617</v>
      </c>
      <c r="L11" s="110">
        <v>43252</v>
      </c>
      <c r="M11" s="24">
        <v>42887</v>
      </c>
      <c r="N11" s="24">
        <v>42522</v>
      </c>
      <c r="O11" s="24">
        <v>42156</v>
      </c>
      <c r="P11" s="24">
        <v>41791</v>
      </c>
      <c r="Q11" s="24">
        <v>41426</v>
      </c>
      <c r="R11" s="24">
        <v>41061</v>
      </c>
      <c r="S11" s="24">
        <v>40695</v>
      </c>
      <c r="T11" s="24">
        <v>40330</v>
      </c>
      <c r="U11" s="24">
        <v>39965</v>
      </c>
      <c r="V11" s="24">
        <v>39600</v>
      </c>
      <c r="W11" s="25">
        <v>39234</v>
      </c>
    </row>
    <row r="12" spans="1:23" x14ac:dyDescent="0.25">
      <c r="A12" s="20" t="s">
        <v>7</v>
      </c>
      <c r="B12" s="26">
        <f t="shared" ref="B12:B15" si="4">IFERROR(((E12-F12)/F12),"")</f>
        <v>-0.25918466301145054</v>
      </c>
      <c r="C12" s="49">
        <v>-27103</v>
      </c>
      <c r="D12" s="1">
        <v>-26268</v>
      </c>
      <c r="E12" s="105">
        <v>39724</v>
      </c>
      <c r="F12" s="1">
        <v>53622</v>
      </c>
      <c r="G12" s="1">
        <v>43105</v>
      </c>
      <c r="H12" s="1">
        <v>31477</v>
      </c>
      <c r="I12" s="1">
        <v>37406</v>
      </c>
      <c r="J12" s="1">
        <v>31456</v>
      </c>
      <c r="K12" s="1">
        <v>37475.695200000002</v>
      </c>
      <c r="L12" s="1">
        <v>33424</v>
      </c>
      <c r="M12" s="1">
        <v>39922</v>
      </c>
      <c r="N12" s="1">
        <v>31765</v>
      </c>
      <c r="O12" s="1">
        <v>28378</v>
      </c>
      <c r="P12" s="1">
        <v>16500</v>
      </c>
      <c r="Q12" s="1">
        <v>12000</v>
      </c>
      <c r="R12" s="1">
        <v>21000</v>
      </c>
      <c r="S12" s="1">
        <v>18000</v>
      </c>
      <c r="T12" s="1">
        <v>21000</v>
      </c>
      <c r="U12" s="1">
        <v>12000</v>
      </c>
      <c r="V12" s="1">
        <v>23000</v>
      </c>
      <c r="W12" s="28">
        <v>34000</v>
      </c>
    </row>
    <row r="13" spans="1:23" x14ac:dyDescent="0.25">
      <c r="A13" s="20" t="s">
        <v>102</v>
      </c>
      <c r="B13" s="26" t="str">
        <f t="shared" si="4"/>
        <v/>
      </c>
      <c r="C13" s="49">
        <v>-270</v>
      </c>
      <c r="D13" s="1">
        <v>0</v>
      </c>
      <c r="E13" s="105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/>
      <c r="Q13" s="1"/>
      <c r="R13" s="1"/>
      <c r="S13" s="1"/>
      <c r="T13" s="1"/>
      <c r="U13" s="1"/>
      <c r="V13" s="1"/>
      <c r="W13" s="28"/>
    </row>
    <row r="14" spans="1:23" ht="13.8" thickBot="1" x14ac:dyDescent="0.3">
      <c r="A14" s="29" t="s">
        <v>6</v>
      </c>
      <c r="B14" s="27" t="str">
        <f t="shared" si="4"/>
        <v/>
      </c>
      <c r="C14" s="50">
        <v>0</v>
      </c>
      <c r="D14" s="10">
        <v>-1538</v>
      </c>
      <c r="E14" s="106">
        <v>0</v>
      </c>
      <c r="F14" s="10">
        <v>0</v>
      </c>
      <c r="G14" s="10">
        <v>292</v>
      </c>
      <c r="H14" s="10">
        <v>906</v>
      </c>
      <c r="I14" s="10">
        <v>0</v>
      </c>
      <c r="J14" s="10">
        <v>0</v>
      </c>
      <c r="K14" s="10">
        <v>0.3</v>
      </c>
      <c r="L14" s="10">
        <v>0</v>
      </c>
      <c r="M14" s="10">
        <v>0</v>
      </c>
      <c r="N14" s="10">
        <v>0</v>
      </c>
      <c r="O14" s="10">
        <v>0</v>
      </c>
      <c r="P14" s="10"/>
      <c r="Q14" s="10"/>
      <c r="R14" s="10"/>
      <c r="S14" s="10"/>
      <c r="T14" s="10"/>
      <c r="U14" s="10"/>
      <c r="V14" s="10"/>
      <c r="W14" s="30"/>
    </row>
    <row r="15" spans="1:23" ht="13.8" thickBot="1" x14ac:dyDescent="0.3">
      <c r="A15" s="31" t="s">
        <v>23</v>
      </c>
      <c r="B15" s="32">
        <f t="shared" si="4"/>
        <v>-0.25918466301145054</v>
      </c>
      <c r="C15" s="123">
        <v>-27373</v>
      </c>
      <c r="D15" s="33">
        <v>-27806</v>
      </c>
      <c r="E15" s="97">
        <f t="shared" ref="E15" si="5">SUM(E12:E14)</f>
        <v>39724</v>
      </c>
      <c r="F15" s="33">
        <f t="shared" ref="F15:K15" si="6">SUM(F12:F14)</f>
        <v>53622</v>
      </c>
      <c r="G15" s="33">
        <f t="shared" si="6"/>
        <v>43397</v>
      </c>
      <c r="H15" s="33">
        <f t="shared" si="6"/>
        <v>32383</v>
      </c>
      <c r="I15" s="33">
        <f t="shared" si="6"/>
        <v>37406</v>
      </c>
      <c r="J15" s="33">
        <f t="shared" si="6"/>
        <v>31456</v>
      </c>
      <c r="K15" s="33">
        <f t="shared" si="6"/>
        <v>37475.995200000005</v>
      </c>
      <c r="L15" s="33">
        <f t="shared" ref="L15:Q15" si="7">SUM(L12:L14)</f>
        <v>33424</v>
      </c>
      <c r="M15" s="33">
        <f t="shared" si="7"/>
        <v>39922</v>
      </c>
      <c r="N15" s="33">
        <f t="shared" si="7"/>
        <v>31765</v>
      </c>
      <c r="O15" s="33">
        <f t="shared" si="7"/>
        <v>28378</v>
      </c>
      <c r="P15" s="33">
        <f t="shared" si="7"/>
        <v>16500</v>
      </c>
      <c r="Q15" s="33">
        <f t="shared" si="7"/>
        <v>12000</v>
      </c>
      <c r="R15" s="33">
        <f t="shared" ref="R15:W15" si="8">SUM(R12:R14)</f>
        <v>21000</v>
      </c>
      <c r="S15" s="33">
        <f t="shared" si="8"/>
        <v>18000</v>
      </c>
      <c r="T15" s="33">
        <f t="shared" si="8"/>
        <v>21000</v>
      </c>
      <c r="U15" s="33">
        <f t="shared" si="8"/>
        <v>12000</v>
      </c>
      <c r="V15" s="33">
        <f t="shared" si="8"/>
        <v>23000</v>
      </c>
      <c r="W15" s="34">
        <f t="shared" si="8"/>
        <v>34000</v>
      </c>
    </row>
    <row r="21" spans="4:24" ht="14.4" x14ac:dyDescent="0.25">
      <c r="D21" s="160"/>
      <c r="E21" s="160"/>
    </row>
    <row r="22" spans="4:24" ht="17.399999999999999" x14ac:dyDescent="0.3">
      <c r="D22" s="161"/>
      <c r="E22" s="161"/>
      <c r="V22" s="5"/>
      <c r="W22" s="1"/>
      <c r="X22" s="1"/>
    </row>
    <row r="23" spans="4:24" ht="17.399999999999999" x14ac:dyDescent="0.3">
      <c r="D23" s="161"/>
      <c r="E23" s="161"/>
      <c r="V23" s="5"/>
      <c r="W23" s="1"/>
      <c r="X23" s="1"/>
    </row>
    <row r="24" spans="4:24" ht="17.399999999999999" x14ac:dyDescent="0.3">
      <c r="D24" s="161"/>
      <c r="E24" s="161"/>
      <c r="V24" s="5"/>
      <c r="W24" s="1"/>
      <c r="X24" s="1"/>
    </row>
    <row r="25" spans="4:24" ht="17.399999999999999" x14ac:dyDescent="0.3">
      <c r="D25" s="161"/>
      <c r="E25" s="161"/>
      <c r="V25" s="5"/>
      <c r="W25" s="1"/>
      <c r="X25" s="1"/>
    </row>
    <row r="26" spans="4:24" ht="17.399999999999999" x14ac:dyDescent="0.3">
      <c r="D26" s="161"/>
      <c r="E26" s="161"/>
      <c r="V26" s="5"/>
      <c r="W26" s="1"/>
      <c r="X26" s="1"/>
    </row>
    <row r="27" spans="4:24" ht="17.399999999999999" x14ac:dyDescent="0.3">
      <c r="D27" s="161"/>
      <c r="E27" s="161"/>
      <c r="V27" s="5"/>
      <c r="W27" s="1"/>
      <c r="X27" s="1"/>
    </row>
    <row r="28" spans="4:24" ht="17.399999999999999" x14ac:dyDescent="0.3">
      <c r="D28" s="161"/>
      <c r="E28" s="161"/>
      <c r="V28" s="5"/>
      <c r="W28" s="1"/>
      <c r="X28" s="1"/>
    </row>
    <row r="29" spans="4:24" ht="17.399999999999999" x14ac:dyDescent="0.3">
      <c r="D29" s="161"/>
      <c r="E29" s="161"/>
      <c r="V29" s="5"/>
      <c r="W29" s="1"/>
      <c r="X29" s="1"/>
    </row>
    <row r="30" spans="4:24" ht="17.399999999999999" x14ac:dyDescent="0.3">
      <c r="D30" s="161"/>
      <c r="E30" s="161"/>
      <c r="V30" s="5"/>
      <c r="W30" s="1"/>
      <c r="X30" s="1"/>
    </row>
    <row r="31" spans="4:24" ht="17.399999999999999" x14ac:dyDescent="0.3">
      <c r="D31" s="161"/>
      <c r="E31" s="161"/>
      <c r="V31" s="5"/>
      <c r="W31" s="1"/>
      <c r="X31" s="1"/>
    </row>
    <row r="32" spans="4:24" ht="17.399999999999999" x14ac:dyDescent="0.3">
      <c r="D32" s="161"/>
      <c r="E32" s="161"/>
      <c r="V32" s="6"/>
      <c r="W32" s="1"/>
      <c r="X32" s="1"/>
    </row>
    <row r="33" spans="4:24" ht="18" x14ac:dyDescent="0.35">
      <c r="D33" s="161"/>
      <c r="E33" s="161"/>
      <c r="V33" s="7"/>
      <c r="W33" s="2"/>
      <c r="X33" s="2"/>
    </row>
    <row r="34" spans="4:24" x14ac:dyDescent="0.25">
      <c r="D34" s="161"/>
      <c r="E34" s="161"/>
    </row>
    <row r="35" spans="4:24" x14ac:dyDescent="0.25">
      <c r="D35" s="161"/>
      <c r="E35" s="161"/>
    </row>
    <row r="36" spans="4:24" x14ac:dyDescent="0.25">
      <c r="D36" s="161"/>
      <c r="E36" s="161"/>
    </row>
    <row r="37" spans="4:24" x14ac:dyDescent="0.25">
      <c r="D37" s="161"/>
      <c r="E37" s="161"/>
    </row>
  </sheetData>
  <conditionalFormatting sqref="E1">
    <cfRule type="expression" dxfId="3" priority="2">
      <formula>ISBLANK(XFD1)=FALSE</formula>
    </cfRule>
  </conditionalFormatting>
  <conditionalFormatting sqref="E11">
    <cfRule type="expression" dxfId="2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  <ignoredErrors>
    <ignoredError sqref="H8 H1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5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2" width="11.44140625" customWidth="1"/>
    <col min="13" max="23" width="10.109375" bestFit="1" customWidth="1"/>
  </cols>
  <sheetData>
    <row r="1" spans="1:24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4" x14ac:dyDescent="0.25">
      <c r="A2" s="39" t="s">
        <v>11</v>
      </c>
      <c r="B2" s="46">
        <f t="shared" ref="B2:B12" si="0">IFERROR(((E2-F2)/F2),"")</f>
        <v>519.20000000000005</v>
      </c>
      <c r="C2" s="73">
        <v>-3733</v>
      </c>
      <c r="D2" s="37">
        <v>-1315</v>
      </c>
      <c r="E2" s="105">
        <v>2601</v>
      </c>
      <c r="F2" s="37">
        <v>5</v>
      </c>
      <c r="G2" s="37">
        <v>584</v>
      </c>
      <c r="H2" s="37">
        <v>1286</v>
      </c>
      <c r="I2" s="37">
        <v>54</v>
      </c>
      <c r="J2" s="37">
        <v>30</v>
      </c>
      <c r="K2" s="37">
        <v>51</v>
      </c>
      <c r="L2" s="37">
        <v>330</v>
      </c>
      <c r="M2" s="37"/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7"/>
      <c r="V2" s="37"/>
      <c r="W2" s="65"/>
    </row>
    <row r="3" spans="1:24" x14ac:dyDescent="0.25">
      <c r="A3" s="39" t="s">
        <v>37</v>
      </c>
      <c r="B3" s="46">
        <f t="shared" si="0"/>
        <v>4.3464837049742711</v>
      </c>
      <c r="C3" s="73">
        <v>-714</v>
      </c>
      <c r="D3" s="37">
        <v>-361</v>
      </c>
      <c r="E3" s="105">
        <v>3117</v>
      </c>
      <c r="F3" s="37">
        <v>583</v>
      </c>
      <c r="G3" s="37">
        <v>3439</v>
      </c>
      <c r="H3" s="37">
        <v>795</v>
      </c>
      <c r="I3" s="37">
        <v>2239</v>
      </c>
      <c r="J3" s="37">
        <v>387</v>
      </c>
      <c r="K3" s="37">
        <v>6000</v>
      </c>
      <c r="L3" s="37">
        <v>6000</v>
      </c>
      <c r="M3" s="37"/>
      <c r="N3" s="37">
        <v>4000</v>
      </c>
      <c r="O3" s="37">
        <v>12000</v>
      </c>
      <c r="P3" s="37">
        <v>14300</v>
      </c>
      <c r="Q3" s="37">
        <v>5000</v>
      </c>
      <c r="R3" s="37">
        <v>5000</v>
      </c>
      <c r="S3" s="37">
        <v>9000</v>
      </c>
      <c r="T3" s="37">
        <v>12000</v>
      </c>
      <c r="U3" s="37">
        <v>15000</v>
      </c>
      <c r="V3" s="37">
        <v>7000</v>
      </c>
      <c r="W3" s="65">
        <v>11000</v>
      </c>
    </row>
    <row r="4" spans="1:24" x14ac:dyDescent="0.25">
      <c r="A4" s="39" t="s">
        <v>29</v>
      </c>
      <c r="B4" s="46" t="str">
        <f t="shared" si="0"/>
        <v/>
      </c>
      <c r="C4" s="73">
        <v>-762</v>
      </c>
      <c r="D4" s="37">
        <v>-30</v>
      </c>
      <c r="E4" s="105">
        <v>1494</v>
      </c>
      <c r="F4" s="37"/>
      <c r="G4" s="37">
        <v>1297</v>
      </c>
      <c r="H4" s="37"/>
      <c r="I4" s="37"/>
      <c r="J4" s="37"/>
      <c r="K4" s="37"/>
      <c r="L4" s="37">
        <v>0</v>
      </c>
      <c r="M4" s="37"/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/>
      <c r="V4" s="37"/>
      <c r="W4" s="65"/>
    </row>
    <row r="5" spans="1:24" x14ac:dyDescent="0.25">
      <c r="A5" s="39" t="s">
        <v>5</v>
      </c>
      <c r="B5" s="46" t="str">
        <f t="shared" si="0"/>
        <v/>
      </c>
      <c r="C5" s="73">
        <v>0</v>
      </c>
      <c r="D5" s="37">
        <v>0</v>
      </c>
      <c r="E5" s="105"/>
      <c r="F5" s="37"/>
      <c r="G5" s="37"/>
      <c r="H5" s="37"/>
      <c r="I5" s="37"/>
      <c r="J5" s="37"/>
      <c r="K5" s="37"/>
      <c r="L5" s="37">
        <v>0</v>
      </c>
      <c r="M5" s="37"/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7"/>
      <c r="V5" s="37"/>
      <c r="W5" s="65"/>
    </row>
    <row r="6" spans="1:24" x14ac:dyDescent="0.25">
      <c r="A6" s="39" t="s">
        <v>9</v>
      </c>
      <c r="B6" s="46">
        <f t="shared" si="0"/>
        <v>7.0747368421052634</v>
      </c>
      <c r="C6" s="73">
        <v>-5703</v>
      </c>
      <c r="D6" s="37">
        <v>-4512</v>
      </c>
      <c r="E6" s="105">
        <v>7671</v>
      </c>
      <c r="F6" s="37">
        <v>950</v>
      </c>
      <c r="G6" s="37">
        <v>11519</v>
      </c>
      <c r="H6" s="37">
        <v>4586</v>
      </c>
      <c r="I6" s="37">
        <v>2365</v>
      </c>
      <c r="J6" s="37">
        <v>3218</v>
      </c>
      <c r="K6" s="37">
        <v>176</v>
      </c>
      <c r="L6" s="37">
        <v>0</v>
      </c>
      <c r="M6" s="37"/>
      <c r="N6" s="37">
        <v>650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/>
      <c r="V6" s="37"/>
      <c r="W6" s="65"/>
    </row>
    <row r="7" spans="1:24" x14ac:dyDescent="0.25">
      <c r="A7" s="39" t="s">
        <v>27</v>
      </c>
      <c r="B7" s="46" t="str">
        <f t="shared" si="0"/>
        <v/>
      </c>
      <c r="C7" s="73">
        <v>0</v>
      </c>
      <c r="D7" s="37">
        <v>0</v>
      </c>
      <c r="E7" s="42"/>
      <c r="F7" s="37"/>
      <c r="G7" s="37"/>
      <c r="H7" s="37">
        <v>29</v>
      </c>
      <c r="I7" s="37"/>
      <c r="J7" s="37"/>
      <c r="K7" s="37"/>
      <c r="L7" s="37">
        <v>0</v>
      </c>
      <c r="M7" s="37"/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/>
      <c r="V7" s="37"/>
      <c r="W7" s="65"/>
      <c r="X7" s="1"/>
    </row>
    <row r="8" spans="1:24" x14ac:dyDescent="0.25">
      <c r="A8" s="39" t="s">
        <v>26</v>
      </c>
      <c r="B8" s="119" t="str">
        <f t="shared" si="0"/>
        <v/>
      </c>
      <c r="C8" s="73">
        <v>0</v>
      </c>
      <c r="D8" s="37">
        <v>0</v>
      </c>
      <c r="E8" s="42"/>
      <c r="F8" s="37"/>
      <c r="G8" s="37"/>
      <c r="H8" s="37"/>
      <c r="I8" s="37"/>
      <c r="J8" s="37"/>
      <c r="K8" s="37"/>
      <c r="L8" s="37">
        <v>0</v>
      </c>
      <c r="M8" s="37"/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/>
      <c r="V8" s="37"/>
      <c r="W8" s="65"/>
    </row>
    <row r="9" spans="1:24" x14ac:dyDescent="0.25">
      <c r="A9" s="39" t="s">
        <v>35</v>
      </c>
      <c r="B9" s="119" t="str">
        <f t="shared" si="0"/>
        <v/>
      </c>
      <c r="C9" s="73">
        <v>0</v>
      </c>
      <c r="D9" s="37">
        <v>0</v>
      </c>
      <c r="E9" s="42"/>
      <c r="F9" s="37"/>
      <c r="G9" s="37"/>
      <c r="H9" s="37"/>
      <c r="I9" s="37"/>
      <c r="J9" s="37"/>
      <c r="K9" s="37"/>
      <c r="L9" s="37">
        <v>0</v>
      </c>
      <c r="M9" s="37"/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/>
      <c r="V9" s="37"/>
      <c r="W9" s="65"/>
    </row>
    <row r="10" spans="1:24" x14ac:dyDescent="0.25">
      <c r="A10" s="39" t="s">
        <v>136</v>
      </c>
      <c r="B10" s="119">
        <f t="shared" si="0"/>
        <v>1.2352941176470589</v>
      </c>
      <c r="C10" s="73">
        <v>-1879</v>
      </c>
      <c r="D10" s="37">
        <v>-1886</v>
      </c>
      <c r="E10" s="42">
        <v>2584</v>
      </c>
      <c r="F10" s="37">
        <v>1156</v>
      </c>
      <c r="G10" s="37">
        <v>2791</v>
      </c>
      <c r="H10" s="37">
        <v>2143</v>
      </c>
      <c r="I10" s="37">
        <v>0</v>
      </c>
      <c r="J10" s="37">
        <v>0</v>
      </c>
      <c r="K10" s="37">
        <v>885</v>
      </c>
      <c r="L10" s="37">
        <v>0</v>
      </c>
      <c r="M10" s="37"/>
      <c r="N10" s="37">
        <v>580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/>
      <c r="V10" s="37"/>
      <c r="W10" s="65"/>
    </row>
    <row r="11" spans="1:24" ht="13.8" thickBot="1" x14ac:dyDescent="0.3">
      <c r="A11" s="40" t="s">
        <v>6</v>
      </c>
      <c r="B11" s="119" t="str">
        <f t="shared" si="0"/>
        <v/>
      </c>
      <c r="C11" s="73">
        <v>-75</v>
      </c>
      <c r="D11" s="37">
        <v>0</v>
      </c>
      <c r="E11" s="105">
        <v>1</v>
      </c>
      <c r="F11" s="37"/>
      <c r="G11" s="37">
        <v>180</v>
      </c>
      <c r="H11" s="37">
        <v>53</v>
      </c>
      <c r="I11" s="37">
        <v>1386</v>
      </c>
      <c r="J11" s="37">
        <v>789</v>
      </c>
      <c r="K11" s="37">
        <v>70</v>
      </c>
      <c r="L11" s="37">
        <v>0</v>
      </c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/>
      <c r="V11" s="37"/>
      <c r="W11" s="66"/>
    </row>
    <row r="12" spans="1:24" s="8" customFormat="1" ht="13.8" thickBot="1" x14ac:dyDescent="0.3">
      <c r="A12" s="41" t="s">
        <v>94</v>
      </c>
      <c r="B12" s="162">
        <f t="shared" si="0"/>
        <v>5.4840386043058649</v>
      </c>
      <c r="C12" s="70">
        <v>-12866</v>
      </c>
      <c r="D12" s="45">
        <v>-8104</v>
      </c>
      <c r="E12" s="44">
        <f>SUM(E2:E11)</f>
        <v>17468</v>
      </c>
      <c r="F12" s="45">
        <f t="shared" ref="F12:L12" si="1">SUM(F2:F11)</f>
        <v>2694</v>
      </c>
      <c r="G12" s="45">
        <f t="shared" si="1"/>
        <v>19810</v>
      </c>
      <c r="H12" s="45">
        <f t="shared" si="1"/>
        <v>8892</v>
      </c>
      <c r="I12" s="45">
        <f t="shared" si="1"/>
        <v>6044</v>
      </c>
      <c r="J12" s="45">
        <f t="shared" si="1"/>
        <v>4424</v>
      </c>
      <c r="K12" s="45">
        <f t="shared" si="1"/>
        <v>7182</v>
      </c>
      <c r="L12" s="45">
        <f t="shared" si="1"/>
        <v>6330</v>
      </c>
      <c r="M12" s="45"/>
      <c r="N12" s="45">
        <f>SUM(N2:N11)</f>
        <v>5230</v>
      </c>
      <c r="O12" s="45">
        <f>SUM(O2:O11)</f>
        <v>12000</v>
      </c>
      <c r="P12" s="45">
        <f>SUM(P2:P11)</f>
        <v>14300</v>
      </c>
      <c r="Q12" s="45">
        <f>SUM(Q2:Q11)</f>
        <v>5000</v>
      </c>
      <c r="R12" s="45">
        <f t="shared" ref="R12:W12" si="2">SUM(R2:R11)</f>
        <v>5000</v>
      </c>
      <c r="S12" s="45">
        <f t="shared" si="2"/>
        <v>9000</v>
      </c>
      <c r="T12" s="45">
        <f t="shared" si="2"/>
        <v>12000</v>
      </c>
      <c r="U12" s="45">
        <f t="shared" si="2"/>
        <v>15000</v>
      </c>
      <c r="V12" s="45">
        <f t="shared" si="2"/>
        <v>7000</v>
      </c>
      <c r="W12" s="34">
        <f t="shared" si="2"/>
        <v>11000</v>
      </c>
    </row>
    <row r="13" spans="1:24" x14ac:dyDescent="0.25">
      <c r="B13" s="143"/>
    </row>
    <row r="14" spans="1:24" ht="13.8" thickBot="1" x14ac:dyDescent="0.3">
      <c r="B14" s="14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51" customFormat="1" ht="13.8" thickBot="1" x14ac:dyDescent="0.3">
      <c r="A15" s="52" t="s">
        <v>93</v>
      </c>
      <c r="B15" s="118" t="s">
        <v>171</v>
      </c>
      <c r="C15" s="48" t="s">
        <v>172</v>
      </c>
      <c r="D15" s="78" t="s">
        <v>169</v>
      </c>
      <c r="E15" s="104">
        <v>45809</v>
      </c>
      <c r="F15" s="110">
        <v>45444</v>
      </c>
      <c r="G15" s="110">
        <v>45078</v>
      </c>
      <c r="H15" s="110">
        <v>44713</v>
      </c>
      <c r="I15" s="110">
        <v>44348</v>
      </c>
      <c r="J15" s="110">
        <v>43983</v>
      </c>
      <c r="K15" s="110">
        <v>43617</v>
      </c>
      <c r="L15" s="110">
        <v>43252</v>
      </c>
      <c r="M15" s="24">
        <v>42887</v>
      </c>
      <c r="N15" s="24">
        <v>42522</v>
      </c>
      <c r="O15" s="24">
        <v>42156</v>
      </c>
      <c r="P15" s="24">
        <v>41791</v>
      </c>
      <c r="Q15" s="24">
        <v>41426</v>
      </c>
      <c r="R15" s="24">
        <v>41061</v>
      </c>
      <c r="S15" s="24">
        <v>40695</v>
      </c>
      <c r="T15" s="24">
        <v>40330</v>
      </c>
      <c r="U15" s="24">
        <v>39965</v>
      </c>
      <c r="V15" s="24">
        <v>39600</v>
      </c>
      <c r="W15" s="25">
        <v>39234</v>
      </c>
    </row>
    <row r="16" spans="1:24" s="51" customFormat="1" x14ac:dyDescent="0.25">
      <c r="A16" s="53" t="s">
        <v>7</v>
      </c>
      <c r="B16" s="131">
        <f t="shared" ref="B16:B19" si="3">IFERROR(((E16-F16)/F16),"")</f>
        <v>28.076923076923077</v>
      </c>
      <c r="C16" s="130">
        <v>-1020</v>
      </c>
      <c r="D16" s="56">
        <v>-426</v>
      </c>
      <c r="E16" s="105">
        <v>378</v>
      </c>
      <c r="F16" s="56">
        <v>13</v>
      </c>
      <c r="G16" s="56">
        <v>557</v>
      </c>
      <c r="H16" s="56"/>
      <c r="I16" s="56">
        <v>15</v>
      </c>
      <c r="J16" s="56"/>
      <c r="K16" s="56">
        <v>0</v>
      </c>
      <c r="L16" s="56">
        <v>0</v>
      </c>
      <c r="M16" s="56"/>
      <c r="N16" s="56">
        <v>100</v>
      </c>
      <c r="O16" s="56">
        <v>450</v>
      </c>
      <c r="P16" s="56">
        <v>700</v>
      </c>
      <c r="Q16" s="56">
        <v>300</v>
      </c>
      <c r="R16" s="56">
        <v>300</v>
      </c>
      <c r="S16" s="56">
        <v>500</v>
      </c>
      <c r="T16" s="56">
        <v>800</v>
      </c>
      <c r="U16" s="56">
        <v>0</v>
      </c>
      <c r="V16" s="56">
        <v>100</v>
      </c>
      <c r="W16" s="67">
        <v>0</v>
      </c>
    </row>
    <row r="17" spans="1:23" s="51" customFormat="1" x14ac:dyDescent="0.25">
      <c r="A17" s="53" t="s">
        <v>95</v>
      </c>
      <c r="B17" s="131" t="str">
        <f t="shared" si="3"/>
        <v/>
      </c>
      <c r="C17" s="130">
        <v>0</v>
      </c>
      <c r="D17" s="56">
        <v>0</v>
      </c>
      <c r="E17" s="105"/>
      <c r="F17" s="56"/>
      <c r="G17" s="56"/>
      <c r="H17" s="56"/>
      <c r="I17" s="56"/>
      <c r="J17" s="56">
        <v>0</v>
      </c>
      <c r="K17" s="56">
        <v>0</v>
      </c>
      <c r="L17" s="56">
        <v>0</v>
      </c>
      <c r="M17" s="56"/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67">
        <v>0</v>
      </c>
    </row>
    <row r="18" spans="1:23" s="51" customFormat="1" ht="13.8" thickBot="1" x14ac:dyDescent="0.3">
      <c r="A18" s="57" t="s">
        <v>6</v>
      </c>
      <c r="B18" s="149" t="str">
        <f t="shared" si="3"/>
        <v/>
      </c>
      <c r="C18" s="130">
        <v>0</v>
      </c>
      <c r="D18" s="56">
        <v>0</v>
      </c>
      <c r="E18" s="105"/>
      <c r="F18" s="56"/>
      <c r="G18" s="56"/>
      <c r="H18" s="56"/>
      <c r="I18" s="56"/>
      <c r="J18" s="56">
        <v>0</v>
      </c>
      <c r="K18" s="56">
        <v>0</v>
      </c>
      <c r="L18" s="56">
        <v>0</v>
      </c>
      <c r="M18" s="60"/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8">
        <v>0</v>
      </c>
    </row>
    <row r="19" spans="1:23" s="76" customFormat="1" ht="13.8" thickBot="1" x14ac:dyDescent="0.3">
      <c r="A19" s="61" t="s">
        <v>94</v>
      </c>
      <c r="B19" s="62">
        <f t="shared" si="3"/>
        <v>28.076923076923077</v>
      </c>
      <c r="C19" s="144">
        <v>-1020</v>
      </c>
      <c r="D19" s="83">
        <v>-426</v>
      </c>
      <c r="E19" s="63">
        <f t="shared" ref="E19" si="4">SUM(E16:E18)</f>
        <v>378</v>
      </c>
      <c r="F19" s="83">
        <f t="shared" ref="F19:L19" si="5">SUM(F16:F18)</f>
        <v>13</v>
      </c>
      <c r="G19" s="83">
        <f t="shared" si="5"/>
        <v>557</v>
      </c>
      <c r="H19" s="83">
        <f t="shared" si="5"/>
        <v>0</v>
      </c>
      <c r="I19" s="83">
        <f t="shared" si="5"/>
        <v>15</v>
      </c>
      <c r="J19" s="83">
        <f t="shared" si="5"/>
        <v>0</v>
      </c>
      <c r="K19" s="83">
        <f t="shared" si="5"/>
        <v>0</v>
      </c>
      <c r="L19" s="83">
        <f t="shared" si="5"/>
        <v>0</v>
      </c>
      <c r="M19" s="83"/>
      <c r="N19" s="83">
        <f>SUM(N16:N18)</f>
        <v>100</v>
      </c>
      <c r="O19" s="83">
        <f>SUM(O16:O18)</f>
        <v>450</v>
      </c>
      <c r="P19" s="83">
        <f>SUM(P16:P18)</f>
        <v>700</v>
      </c>
      <c r="Q19" s="83">
        <f>SUM(Q16:Q18)</f>
        <v>300</v>
      </c>
      <c r="R19" s="83">
        <f t="shared" ref="R19:W19" si="6">SUM(R16:R18)</f>
        <v>300</v>
      </c>
      <c r="S19" s="83">
        <f t="shared" si="6"/>
        <v>500</v>
      </c>
      <c r="T19" s="83">
        <f t="shared" si="6"/>
        <v>800</v>
      </c>
      <c r="U19" s="83">
        <f t="shared" si="6"/>
        <v>0</v>
      </c>
      <c r="V19" s="83">
        <f t="shared" si="6"/>
        <v>100</v>
      </c>
      <c r="W19" s="84">
        <f t="shared" si="6"/>
        <v>0</v>
      </c>
    </row>
    <row r="20" spans="1:23" s="51" customFormat="1" x14ac:dyDescent="0.25">
      <c r="B20" s="51" t="str">
        <f t="shared" ref="B20:B50" si="7">IFERROR((F20/G20-1), "")</f>
        <v/>
      </c>
    </row>
    <row r="21" spans="1:23" s="51" customFormat="1" x14ac:dyDescent="0.25">
      <c r="E21" s="56"/>
      <c r="F21" s="56"/>
      <c r="G21" s="56"/>
      <c r="H21" s="56"/>
      <c r="I21" s="56"/>
      <c r="J21" s="56"/>
      <c r="K21" s="56"/>
    </row>
    <row r="22" spans="1:23" s="51" customFormat="1" x14ac:dyDescent="0.25">
      <c r="F22" s="56"/>
      <c r="G22" s="56"/>
      <c r="H22" s="56"/>
    </row>
    <row r="23" spans="1:23" x14ac:dyDescent="0.25">
      <c r="B23" t="str">
        <f t="shared" si="7"/>
        <v/>
      </c>
      <c r="E23" s="1"/>
      <c r="F23" s="1"/>
      <c r="G23" s="1"/>
      <c r="H23" s="1"/>
      <c r="I23" s="1"/>
    </row>
    <row r="24" spans="1:23" x14ac:dyDescent="0.25">
      <c r="B24" t="str">
        <f t="shared" si="7"/>
        <v/>
      </c>
    </row>
    <row r="25" spans="1:23" x14ac:dyDescent="0.25">
      <c r="B25" t="str">
        <f t="shared" si="7"/>
        <v/>
      </c>
    </row>
    <row r="26" spans="1:23" x14ac:dyDescent="0.25">
      <c r="B26" t="str">
        <f t="shared" si="7"/>
        <v/>
      </c>
    </row>
    <row r="27" spans="1:23" x14ac:dyDescent="0.25">
      <c r="B27" t="str">
        <f t="shared" si="7"/>
        <v/>
      </c>
    </row>
    <row r="28" spans="1:23" x14ac:dyDescent="0.25">
      <c r="B28" t="str">
        <f t="shared" si="7"/>
        <v/>
      </c>
    </row>
    <row r="29" spans="1:23" x14ac:dyDescent="0.25">
      <c r="B29" t="str">
        <f t="shared" si="7"/>
        <v/>
      </c>
    </row>
    <row r="30" spans="1:23" x14ac:dyDescent="0.25">
      <c r="B30" t="str">
        <f t="shared" si="7"/>
        <v/>
      </c>
    </row>
    <row r="31" spans="1:23" x14ac:dyDescent="0.25">
      <c r="B31" t="str">
        <f t="shared" si="7"/>
        <v/>
      </c>
    </row>
    <row r="32" spans="1:23" x14ac:dyDescent="0.25">
      <c r="B32" t="str">
        <f t="shared" si="7"/>
        <v/>
      </c>
    </row>
    <row r="33" spans="2:2" x14ac:dyDescent="0.25">
      <c r="B33" t="str">
        <f t="shared" si="7"/>
        <v/>
      </c>
    </row>
    <row r="34" spans="2:2" x14ac:dyDescent="0.25">
      <c r="B34" t="str">
        <f t="shared" si="7"/>
        <v/>
      </c>
    </row>
    <row r="35" spans="2:2" x14ac:dyDescent="0.25">
      <c r="B35" t="str">
        <f t="shared" si="7"/>
        <v/>
      </c>
    </row>
    <row r="36" spans="2:2" x14ac:dyDescent="0.25">
      <c r="B36" t="str">
        <f t="shared" si="7"/>
        <v/>
      </c>
    </row>
    <row r="37" spans="2:2" x14ac:dyDescent="0.25">
      <c r="B37" t="str">
        <f t="shared" si="7"/>
        <v/>
      </c>
    </row>
    <row r="38" spans="2:2" x14ac:dyDescent="0.25">
      <c r="B38" t="str">
        <f t="shared" si="7"/>
        <v/>
      </c>
    </row>
    <row r="39" spans="2:2" x14ac:dyDescent="0.25">
      <c r="B39" t="str">
        <f t="shared" si="7"/>
        <v/>
      </c>
    </row>
    <row r="40" spans="2:2" x14ac:dyDescent="0.25">
      <c r="B40" t="str">
        <f t="shared" si="7"/>
        <v/>
      </c>
    </row>
    <row r="41" spans="2:2" x14ac:dyDescent="0.25">
      <c r="B41" t="str">
        <f t="shared" si="7"/>
        <v/>
      </c>
    </row>
    <row r="42" spans="2:2" x14ac:dyDescent="0.25">
      <c r="B42" t="str">
        <f t="shared" si="7"/>
        <v/>
      </c>
    </row>
    <row r="43" spans="2:2" x14ac:dyDescent="0.25">
      <c r="B43" t="str">
        <f t="shared" si="7"/>
        <v/>
      </c>
    </row>
    <row r="44" spans="2:2" x14ac:dyDescent="0.25">
      <c r="B44" t="str">
        <f t="shared" si="7"/>
        <v/>
      </c>
    </row>
    <row r="45" spans="2:2" x14ac:dyDescent="0.25">
      <c r="B45" t="str">
        <f t="shared" si="7"/>
        <v/>
      </c>
    </row>
    <row r="46" spans="2:2" x14ac:dyDescent="0.25">
      <c r="B46" t="str">
        <f t="shared" si="7"/>
        <v/>
      </c>
    </row>
    <row r="47" spans="2:2" x14ac:dyDescent="0.25">
      <c r="B47" t="str">
        <f t="shared" si="7"/>
        <v/>
      </c>
    </row>
    <row r="48" spans="2:2" x14ac:dyDescent="0.25">
      <c r="B48" t="str">
        <f t="shared" si="7"/>
        <v/>
      </c>
    </row>
    <row r="49" spans="2:2" x14ac:dyDescent="0.25">
      <c r="B49" t="str">
        <f t="shared" si="7"/>
        <v/>
      </c>
    </row>
    <row r="50" spans="2:2" x14ac:dyDescent="0.25">
      <c r="B50" t="str">
        <f t="shared" si="7"/>
        <v/>
      </c>
    </row>
  </sheetData>
  <conditionalFormatting sqref="E1">
    <cfRule type="expression" dxfId="1" priority="2">
      <formula>ISBLANK(XFD1)=FALSE</formula>
    </cfRule>
  </conditionalFormatting>
  <conditionalFormatting sqref="E15">
    <cfRule type="expression" dxfId="0" priority="1">
      <formula>ISBLANK(XFD15)=FALSE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9"/>
  <sheetViews>
    <sheetView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12" width="11.6640625" customWidth="1"/>
    <col min="13" max="23" width="10.109375" bestFit="1" customWidth="1"/>
  </cols>
  <sheetData>
    <row r="1" spans="1:28" ht="13.8" thickBot="1" x14ac:dyDescent="0.3">
      <c r="A1" s="23" t="s">
        <v>24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8" x14ac:dyDescent="0.25">
      <c r="A2" s="20" t="s">
        <v>11</v>
      </c>
      <c r="B2" s="26" t="str">
        <f t="shared" ref="B2:B27" si="0">IFERROR(((E2-F2)/F2),"")</f>
        <v/>
      </c>
      <c r="C2" s="49">
        <v>0</v>
      </c>
      <c r="D2" s="1">
        <v>0</v>
      </c>
      <c r="E2" s="105"/>
      <c r="F2" s="1"/>
      <c r="G2" s="1"/>
      <c r="H2" s="1">
        <v>184.31725954949999</v>
      </c>
      <c r="I2" s="1">
        <v>847.05100000000004</v>
      </c>
      <c r="J2" s="1">
        <v>1124</v>
      </c>
      <c r="K2" s="1">
        <v>762</v>
      </c>
      <c r="L2" s="1">
        <v>324</v>
      </c>
      <c r="M2" s="1">
        <v>495</v>
      </c>
      <c r="N2" s="1">
        <v>38</v>
      </c>
      <c r="O2" s="1">
        <v>4993</v>
      </c>
      <c r="P2" s="1">
        <v>76</v>
      </c>
      <c r="Q2" s="1">
        <v>553</v>
      </c>
      <c r="R2" s="1">
        <v>419</v>
      </c>
      <c r="S2" s="1">
        <v>4802.1778584392014</v>
      </c>
      <c r="T2" s="1">
        <v>2877.4954627949182</v>
      </c>
      <c r="U2" s="1">
        <v>6784.0290381125224</v>
      </c>
      <c r="V2" s="1">
        <v>1391.1070780399275</v>
      </c>
      <c r="W2" s="28">
        <v>1600.7259528130671</v>
      </c>
      <c r="AA2" s="1"/>
      <c r="AB2" s="1"/>
    </row>
    <row r="3" spans="1:28" x14ac:dyDescent="0.25">
      <c r="A3" s="20" t="s">
        <v>33</v>
      </c>
      <c r="B3" s="26">
        <f t="shared" si="0"/>
        <v>-0.23331549761649956</v>
      </c>
      <c r="C3" s="49">
        <v>-214.18903866821995</v>
      </c>
      <c r="D3" s="1">
        <v>-438.77985756528005</v>
      </c>
      <c r="E3" s="105">
        <v>600.54087573942002</v>
      </c>
      <c r="F3" s="1">
        <v>783.29596316663992</v>
      </c>
      <c r="G3" s="1">
        <v>513.2306948076</v>
      </c>
      <c r="H3" s="1">
        <v>460.57406375903997</v>
      </c>
      <c r="I3" s="1">
        <v>790.41600000000005</v>
      </c>
      <c r="J3" s="1">
        <v>534</v>
      </c>
      <c r="K3" s="1">
        <v>686</v>
      </c>
      <c r="L3" s="1">
        <v>534</v>
      </c>
      <c r="M3" s="1">
        <v>172</v>
      </c>
      <c r="N3" s="1">
        <v>324</v>
      </c>
      <c r="O3" s="1">
        <v>286</v>
      </c>
      <c r="P3" s="1">
        <v>343</v>
      </c>
      <c r="Q3" s="1">
        <v>0</v>
      </c>
      <c r="R3" s="1">
        <v>76</v>
      </c>
      <c r="S3" s="1">
        <v>76.225045372050815</v>
      </c>
      <c r="T3" s="1">
        <v>266.78765880217787</v>
      </c>
      <c r="U3" s="1">
        <v>323.95644283121595</v>
      </c>
      <c r="V3" s="1">
        <v>0</v>
      </c>
      <c r="W3" s="28">
        <v>228.67513611615246</v>
      </c>
      <c r="AA3" s="1"/>
      <c r="AB3" s="1"/>
    </row>
    <row r="4" spans="1:28" x14ac:dyDescent="0.25">
      <c r="A4" s="39" t="s">
        <v>165</v>
      </c>
      <c r="B4" s="26">
        <f t="shared" si="0"/>
        <v>0.34621785831590629</v>
      </c>
      <c r="C4" s="49">
        <v>-21119.27163341688</v>
      </c>
      <c r="D4" s="1">
        <v>-11702.669538228904</v>
      </c>
      <c r="E4" s="105">
        <v>102366.71971130681</v>
      </c>
      <c r="F4" s="1">
        <v>76040.233071462659</v>
      </c>
      <c r="G4" s="1">
        <v>41783.360601984539</v>
      </c>
      <c r="H4" s="1">
        <v>28213.438156522079</v>
      </c>
      <c r="I4" s="1">
        <v>3157.9079999999999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8"/>
      <c r="AA4" s="1"/>
      <c r="AB4" s="1"/>
    </row>
    <row r="5" spans="1:28" x14ac:dyDescent="0.25">
      <c r="A5" s="20" t="s">
        <v>50</v>
      </c>
      <c r="B5" s="26">
        <f t="shared" si="0"/>
        <v>-0.31339072912106619</v>
      </c>
      <c r="C5" s="49">
        <v>-1107.1799662261801</v>
      </c>
      <c r="D5" s="1">
        <v>-2499.4753956480004</v>
      </c>
      <c r="E5" s="105">
        <v>1613.5332935198398</v>
      </c>
      <c r="F5" s="1">
        <v>2350.0021947771597</v>
      </c>
      <c r="G5" s="1">
        <v>2945.7994015111199</v>
      </c>
      <c r="H5" s="1">
        <v>1602.63619042296</v>
      </c>
      <c r="I5" s="1">
        <v>2356.25</v>
      </c>
      <c r="J5" s="1">
        <v>2496</v>
      </c>
      <c r="K5" s="1">
        <v>3011</v>
      </c>
      <c r="L5" s="1">
        <v>2172</v>
      </c>
      <c r="M5" s="1">
        <v>1505</v>
      </c>
      <c r="N5" s="1">
        <v>1067</v>
      </c>
      <c r="O5" s="1">
        <v>2496</v>
      </c>
      <c r="P5" s="1">
        <v>1353</v>
      </c>
      <c r="Q5" s="1">
        <v>0</v>
      </c>
      <c r="R5" s="1">
        <v>991</v>
      </c>
      <c r="S5" s="1">
        <v>914.70054446460983</v>
      </c>
      <c r="T5" s="1">
        <v>3239.5644283121596</v>
      </c>
      <c r="U5" s="1">
        <v>3944.64609800363</v>
      </c>
      <c r="V5" s="1">
        <v>2553.5390199637022</v>
      </c>
      <c r="W5" s="28">
        <v>3544.4646098003632</v>
      </c>
      <c r="AA5" s="1"/>
      <c r="AB5" s="1"/>
    </row>
    <row r="6" spans="1:28" x14ac:dyDescent="0.25">
      <c r="A6" s="20" t="s">
        <v>12</v>
      </c>
      <c r="B6" s="26">
        <f t="shared" si="0"/>
        <v>-7.3533048881505664E-2</v>
      </c>
      <c r="C6" s="49">
        <v>-24251.674400022297</v>
      </c>
      <c r="D6" s="1">
        <v>-24479.484817561621</v>
      </c>
      <c r="E6" s="105">
        <v>70293.478105583039</v>
      </c>
      <c r="F6" s="1">
        <v>75872.623433269735</v>
      </c>
      <c r="G6" s="1">
        <v>67014.593126194552</v>
      </c>
      <c r="H6" s="1">
        <v>58150.618944702896</v>
      </c>
      <c r="I6" s="1">
        <v>76616.536999999997</v>
      </c>
      <c r="J6" s="1">
        <v>89069</v>
      </c>
      <c r="K6" s="1">
        <v>63495</v>
      </c>
      <c r="L6" s="1">
        <v>77254</v>
      </c>
      <c r="M6" s="1">
        <v>52481</v>
      </c>
      <c r="N6" s="1">
        <v>38856</v>
      </c>
      <c r="O6" s="1">
        <v>56750</v>
      </c>
      <c r="P6" s="1">
        <v>40533</v>
      </c>
      <c r="Q6" s="1">
        <v>59722</v>
      </c>
      <c r="R6" s="1">
        <v>33120</v>
      </c>
      <c r="S6" s="1">
        <v>53033.575317604358</v>
      </c>
      <c r="T6" s="1">
        <v>31233.212341197821</v>
      </c>
      <c r="U6" s="1">
        <v>49927.404718693288</v>
      </c>
      <c r="V6" s="1">
        <v>21152.450090744103</v>
      </c>
      <c r="W6" s="28">
        <v>21571.687840290382</v>
      </c>
      <c r="AA6" s="1"/>
      <c r="AB6" s="1"/>
    </row>
    <row r="7" spans="1:28" x14ac:dyDescent="0.25">
      <c r="A7" s="20" t="s">
        <v>9</v>
      </c>
      <c r="B7" s="26">
        <f t="shared" si="0"/>
        <v>5.3099974840825369E-2</v>
      </c>
      <c r="C7" s="49">
        <v>-46402.227295577992</v>
      </c>
      <c r="D7" s="1">
        <v>-43167.140288251976</v>
      </c>
      <c r="E7" s="105">
        <v>112277.0253497739</v>
      </c>
      <c r="F7" s="1">
        <v>106615.73262951072</v>
      </c>
      <c r="G7" s="1">
        <v>104918.37546601487</v>
      </c>
      <c r="H7" s="1">
        <v>80247.391207317181</v>
      </c>
      <c r="I7" s="1">
        <v>92945.256999999998</v>
      </c>
      <c r="J7" s="1">
        <v>127086</v>
      </c>
      <c r="K7" s="1">
        <v>99493</v>
      </c>
      <c r="L7" s="1">
        <v>92309</v>
      </c>
      <c r="M7" s="1">
        <v>75653</v>
      </c>
      <c r="N7" s="1">
        <v>46040</v>
      </c>
      <c r="O7" s="1">
        <v>77978</v>
      </c>
      <c r="P7" s="1">
        <v>43868</v>
      </c>
      <c r="Q7" s="1">
        <v>52691</v>
      </c>
      <c r="R7" s="1">
        <v>33253</v>
      </c>
      <c r="S7" s="1">
        <v>27993.647912885663</v>
      </c>
      <c r="T7" s="1">
        <v>31785.843920145191</v>
      </c>
      <c r="U7" s="1">
        <v>22505.444646098003</v>
      </c>
      <c r="V7" s="1">
        <v>9718.6932849364784</v>
      </c>
      <c r="W7" s="28">
        <v>8727.7676950998193</v>
      </c>
      <c r="AA7" s="1"/>
      <c r="AB7" s="1"/>
    </row>
    <row r="8" spans="1:28" x14ac:dyDescent="0.25">
      <c r="A8" s="20" t="s">
        <v>3</v>
      </c>
      <c r="B8" s="26">
        <f t="shared" si="0"/>
        <v>5.5757784870179511E-3</v>
      </c>
      <c r="C8" s="49">
        <v>-11279.206587813784</v>
      </c>
      <c r="D8" s="1">
        <v>-12594.84127796664</v>
      </c>
      <c r="E8" s="105">
        <v>27761.036920085699</v>
      </c>
      <c r="F8" s="1">
        <v>27607.105813402501</v>
      </c>
      <c r="G8" s="1">
        <v>18332.71853398062</v>
      </c>
      <c r="H8" s="1">
        <v>24667.650354778198</v>
      </c>
      <c r="I8" s="1">
        <v>22024.789000000001</v>
      </c>
      <c r="J8" s="1">
        <v>53529</v>
      </c>
      <c r="K8" s="1">
        <v>19838</v>
      </c>
      <c r="L8" s="1">
        <v>39389</v>
      </c>
      <c r="M8" s="1">
        <v>27860</v>
      </c>
      <c r="N8" s="1">
        <v>37922</v>
      </c>
      <c r="O8" s="1">
        <v>64505</v>
      </c>
      <c r="P8" s="1">
        <v>54082</v>
      </c>
      <c r="Q8" s="1">
        <v>59894</v>
      </c>
      <c r="R8" s="1">
        <v>46192</v>
      </c>
      <c r="S8" s="1">
        <v>50079.854809437384</v>
      </c>
      <c r="T8" s="1">
        <v>55911.070780399277</v>
      </c>
      <c r="U8" s="1">
        <v>72623.411978221411</v>
      </c>
      <c r="V8" s="1">
        <v>52766.787658802175</v>
      </c>
      <c r="W8" s="28">
        <v>36054.446460980034</v>
      </c>
      <c r="AA8" s="1"/>
      <c r="AB8" s="1"/>
    </row>
    <row r="9" spans="1:28" x14ac:dyDescent="0.25">
      <c r="A9" s="20" t="s">
        <v>17</v>
      </c>
      <c r="B9" s="26">
        <f t="shared" si="0"/>
        <v>-5.2459225593558881E-2</v>
      </c>
      <c r="C9" s="49">
        <v>-27467.081848783506</v>
      </c>
      <c r="D9" s="1">
        <v>-32508.077931224267</v>
      </c>
      <c r="E9" s="105">
        <v>99867.892045563174</v>
      </c>
      <c r="F9" s="1">
        <v>105396.93356005968</v>
      </c>
      <c r="G9" s="1">
        <v>57819.762319731715</v>
      </c>
      <c r="H9" s="1">
        <v>108921.80349606863</v>
      </c>
      <c r="I9" s="1">
        <v>58016.082999999999</v>
      </c>
      <c r="J9" s="1">
        <v>99264</v>
      </c>
      <c r="K9" s="1">
        <v>71061</v>
      </c>
      <c r="L9" s="1">
        <v>124056</v>
      </c>
      <c r="M9" s="1">
        <v>40342</v>
      </c>
      <c r="N9" s="1">
        <v>88516</v>
      </c>
      <c r="O9" s="1">
        <v>72947</v>
      </c>
      <c r="P9" s="1">
        <v>77597</v>
      </c>
      <c r="Q9" s="1">
        <v>55397</v>
      </c>
      <c r="R9" s="1">
        <v>54406</v>
      </c>
      <c r="S9" s="1">
        <v>54843.920145190561</v>
      </c>
      <c r="T9" s="1">
        <v>50537.205081669694</v>
      </c>
      <c r="U9" s="1">
        <v>81522.686025408344</v>
      </c>
      <c r="V9" s="1">
        <v>40323.049001814885</v>
      </c>
      <c r="W9" s="28">
        <v>51185.117967332124</v>
      </c>
      <c r="AA9" s="1"/>
      <c r="AB9" s="1"/>
    </row>
    <row r="10" spans="1:28" x14ac:dyDescent="0.25">
      <c r="A10" s="20" t="s">
        <v>158</v>
      </c>
      <c r="B10" s="26">
        <f t="shared" si="0"/>
        <v>-0.51434798765981005</v>
      </c>
      <c r="C10" s="49">
        <v>-17682.454862641804</v>
      </c>
      <c r="D10" s="1">
        <v>-34119.839492946907</v>
      </c>
      <c r="E10" s="105">
        <v>46133.819453738935</v>
      </c>
      <c r="F10" s="1">
        <v>94993.57210821785</v>
      </c>
      <c r="G10" s="1">
        <v>45413.410443933841</v>
      </c>
      <c r="H10" s="1">
        <v>74761.157019147053</v>
      </c>
      <c r="I10" s="1">
        <v>54152.33</v>
      </c>
      <c r="J10" s="1">
        <v>39809</v>
      </c>
      <c r="K10" s="1">
        <v>35368</v>
      </c>
      <c r="L10" s="1">
        <v>27765</v>
      </c>
      <c r="M10" s="1">
        <v>6041</v>
      </c>
      <c r="N10" s="1">
        <v>12272</v>
      </c>
      <c r="O10" s="1">
        <v>2096</v>
      </c>
      <c r="P10" s="1">
        <v>191</v>
      </c>
      <c r="Q10" s="1">
        <v>0</v>
      </c>
      <c r="R10" s="1"/>
      <c r="S10" s="1"/>
      <c r="T10" s="1"/>
      <c r="U10" s="1"/>
      <c r="V10" s="1"/>
      <c r="W10" s="28"/>
      <c r="AA10" s="1"/>
      <c r="AB10" s="1"/>
    </row>
    <row r="11" spans="1:28" x14ac:dyDescent="0.25">
      <c r="A11" s="21" t="s">
        <v>10</v>
      </c>
      <c r="B11" s="26">
        <f t="shared" si="0"/>
        <v>-0.80830207374902685</v>
      </c>
      <c r="C11" s="49">
        <v>-23.946955581780003</v>
      </c>
      <c r="D11" s="1">
        <v>-32.653207531559929</v>
      </c>
      <c r="E11" s="105">
        <v>206.39722893635999</v>
      </c>
      <c r="F11" s="1">
        <v>1076.67950808264</v>
      </c>
      <c r="G11" s="1">
        <v>1460.1356114637599</v>
      </c>
      <c r="H11" s="1">
        <v>634.31808516384001</v>
      </c>
      <c r="I11" s="1">
        <v>809.47199999999998</v>
      </c>
      <c r="J11" s="1">
        <v>1296</v>
      </c>
      <c r="K11" s="1">
        <v>172</v>
      </c>
      <c r="L11" s="1">
        <v>953</v>
      </c>
      <c r="M11" s="79">
        <v>1563</v>
      </c>
      <c r="N11" s="79">
        <v>800</v>
      </c>
      <c r="O11" s="79">
        <v>1906</v>
      </c>
      <c r="P11" s="79">
        <v>1868</v>
      </c>
      <c r="Q11" s="79">
        <v>76</v>
      </c>
      <c r="R11" s="79">
        <v>2249</v>
      </c>
      <c r="S11" s="79">
        <v>76.225045372050815</v>
      </c>
      <c r="T11" s="79">
        <v>2286.7513611615245</v>
      </c>
      <c r="U11" s="79">
        <v>1276.7695099818511</v>
      </c>
      <c r="V11" s="1">
        <v>381.12522686025409</v>
      </c>
      <c r="W11" s="28">
        <v>914.70054446460983</v>
      </c>
      <c r="AA11" s="1"/>
      <c r="AB11" s="1"/>
    </row>
    <row r="12" spans="1:28" x14ac:dyDescent="0.25">
      <c r="A12" s="21" t="s">
        <v>27</v>
      </c>
      <c r="B12" s="26" t="str">
        <f t="shared" si="0"/>
        <v/>
      </c>
      <c r="C12" s="49">
        <v>0</v>
      </c>
      <c r="D12" s="1">
        <v>0</v>
      </c>
      <c r="E12" s="105"/>
      <c r="F12" s="1"/>
      <c r="G12" s="1"/>
      <c r="H12" s="1"/>
      <c r="I12" s="1"/>
      <c r="J12" s="1"/>
      <c r="K12" s="1">
        <v>1162</v>
      </c>
      <c r="L12" s="1">
        <v>2134</v>
      </c>
      <c r="M12" s="79">
        <v>2401</v>
      </c>
      <c r="N12" s="79">
        <v>286</v>
      </c>
      <c r="O12" s="79">
        <v>2153</v>
      </c>
      <c r="P12" s="79">
        <v>1620</v>
      </c>
      <c r="Q12" s="79">
        <v>1201</v>
      </c>
      <c r="R12" s="79">
        <v>1505</v>
      </c>
      <c r="S12" s="79">
        <v>2210.5263157894738</v>
      </c>
      <c r="T12" s="79">
        <v>1181.4882032667877</v>
      </c>
      <c r="U12" s="79">
        <v>876.58802177858445</v>
      </c>
      <c r="V12" s="1">
        <v>95.281306715063522</v>
      </c>
      <c r="W12" s="28">
        <v>1029.0381125226861</v>
      </c>
      <c r="AA12" s="1"/>
      <c r="AB12" s="1"/>
    </row>
    <row r="13" spans="1:28" x14ac:dyDescent="0.25">
      <c r="A13" s="21" t="s">
        <v>51</v>
      </c>
      <c r="B13" s="26">
        <f t="shared" si="0"/>
        <v>-0.10979047619047617</v>
      </c>
      <c r="C13" s="49">
        <v>-111.42859442946002</v>
      </c>
      <c r="D13" s="1">
        <v>-401.55443894411997</v>
      </c>
      <c r="E13" s="105">
        <v>222.59047654535999</v>
      </c>
      <c r="F13" s="1">
        <v>250.04279396249999</v>
      </c>
      <c r="G13" s="1">
        <v>516.83131104066001</v>
      </c>
      <c r="H13" s="1">
        <v>224.800378572</v>
      </c>
      <c r="I13" s="1">
        <v>179.643</v>
      </c>
      <c r="J13" s="1">
        <v>133</v>
      </c>
      <c r="K13" s="1">
        <v>610</v>
      </c>
      <c r="L13" s="1">
        <v>705</v>
      </c>
      <c r="M13" s="79">
        <v>95</v>
      </c>
      <c r="N13" s="79">
        <v>57</v>
      </c>
      <c r="O13" s="79">
        <v>534</v>
      </c>
      <c r="P13" s="79">
        <v>400</v>
      </c>
      <c r="Q13" s="79">
        <v>0</v>
      </c>
      <c r="R13" s="79">
        <v>534</v>
      </c>
      <c r="S13" s="79">
        <v>171.50635208711435</v>
      </c>
      <c r="T13" s="79">
        <v>1676.9509981851179</v>
      </c>
      <c r="U13" s="79">
        <v>57.168784029038115</v>
      </c>
      <c r="V13" s="1">
        <v>0</v>
      </c>
      <c r="W13" s="28">
        <v>76.225045372050815</v>
      </c>
      <c r="AA13" s="1"/>
      <c r="AB13" s="1"/>
    </row>
    <row r="14" spans="1:28" x14ac:dyDescent="0.25">
      <c r="A14" s="21" t="s">
        <v>52</v>
      </c>
      <c r="B14" s="26">
        <f t="shared" si="0"/>
        <v>-1.0540635384128784E-2</v>
      </c>
      <c r="C14" s="49">
        <v>-1897.3913986658399</v>
      </c>
      <c r="D14" s="1">
        <v>-1463.7743294558995</v>
      </c>
      <c r="E14" s="105">
        <v>4350.9922763815202</v>
      </c>
      <c r="F14" s="1">
        <v>4397.34306630234</v>
      </c>
      <c r="G14" s="1">
        <v>3935.9117129639999</v>
      </c>
      <c r="H14" s="1">
        <v>4315.9386580279197</v>
      </c>
      <c r="I14" s="1">
        <v>3156.4789999999998</v>
      </c>
      <c r="J14" s="1">
        <v>3926</v>
      </c>
      <c r="K14" s="1">
        <v>5755</v>
      </c>
      <c r="L14" s="1">
        <v>2725</v>
      </c>
      <c r="M14" s="79">
        <v>2611</v>
      </c>
      <c r="N14" s="79">
        <v>4974</v>
      </c>
      <c r="O14" s="79">
        <v>4554</v>
      </c>
      <c r="P14" s="79">
        <v>5393</v>
      </c>
      <c r="Q14" s="79">
        <v>0</v>
      </c>
      <c r="R14" s="79">
        <v>1258</v>
      </c>
      <c r="S14" s="79">
        <v>57.168784029038115</v>
      </c>
      <c r="T14" s="79">
        <v>6383.8475499092556</v>
      </c>
      <c r="U14" s="79">
        <v>4154.2649727767694</v>
      </c>
      <c r="V14" s="1">
        <v>1410.1633393829402</v>
      </c>
      <c r="W14" s="28">
        <v>1867.5136116152451</v>
      </c>
      <c r="AA14" s="1"/>
      <c r="AB14" s="1"/>
    </row>
    <row r="15" spans="1:28" x14ac:dyDescent="0.25">
      <c r="A15" s="21" t="s">
        <v>53</v>
      </c>
      <c r="B15" s="26">
        <f t="shared" si="0"/>
        <v>-0.76703660925023853</v>
      </c>
      <c r="C15" s="49">
        <v>-90.663135730859992</v>
      </c>
      <c r="D15" s="1">
        <v>-128.74584393132</v>
      </c>
      <c r="E15" s="105">
        <v>88.377030186059997</v>
      </c>
      <c r="F15" s="1">
        <v>379.36016428002</v>
      </c>
      <c r="G15" s="1">
        <v>209.14055559011999</v>
      </c>
      <c r="H15" s="1">
        <v>255.6628034268</v>
      </c>
      <c r="I15" s="1">
        <v>350.31099999999998</v>
      </c>
      <c r="J15" s="1">
        <v>362</v>
      </c>
      <c r="K15" s="1">
        <v>438</v>
      </c>
      <c r="L15" s="1">
        <v>1239</v>
      </c>
      <c r="M15" s="79">
        <v>858</v>
      </c>
      <c r="N15" s="79">
        <v>248</v>
      </c>
      <c r="O15" s="79">
        <v>476</v>
      </c>
      <c r="P15" s="79">
        <v>838</v>
      </c>
      <c r="Q15" s="79">
        <v>38</v>
      </c>
      <c r="R15" s="79">
        <v>648</v>
      </c>
      <c r="S15" s="79">
        <v>1181.4882032667877</v>
      </c>
      <c r="T15" s="79">
        <v>2000.9074410163339</v>
      </c>
      <c r="U15" s="79">
        <v>1638.8384754990925</v>
      </c>
      <c r="V15" s="1">
        <v>2248.6388384754991</v>
      </c>
      <c r="W15" s="28">
        <v>1181.4882032667877</v>
      </c>
      <c r="AA15" s="1"/>
      <c r="AB15" s="1"/>
    </row>
    <row r="16" spans="1:28" x14ac:dyDescent="0.25">
      <c r="A16" s="21" t="s">
        <v>54</v>
      </c>
      <c r="B16" s="26">
        <f t="shared" si="0"/>
        <v>-0.273169862851036</v>
      </c>
      <c r="C16" s="49">
        <v>-76.832197184819989</v>
      </c>
      <c r="D16" s="1">
        <v>-107.9232325941</v>
      </c>
      <c r="E16" s="105">
        <v>233.22086732867999</v>
      </c>
      <c r="F16" s="1">
        <v>320.87396409221998</v>
      </c>
      <c r="G16" s="1">
        <v>259.75874252789998</v>
      </c>
      <c r="H16" s="1">
        <v>273.51347755578001</v>
      </c>
      <c r="I16" s="1">
        <v>273.45699999999999</v>
      </c>
      <c r="J16" s="1">
        <v>191</v>
      </c>
      <c r="K16" s="1">
        <v>172</v>
      </c>
      <c r="L16" s="1">
        <v>0</v>
      </c>
      <c r="M16" s="79">
        <v>0</v>
      </c>
      <c r="N16" s="79">
        <v>0</v>
      </c>
      <c r="O16" s="79">
        <v>0</v>
      </c>
      <c r="P16" s="79">
        <v>114</v>
      </c>
      <c r="Q16" s="79">
        <v>0</v>
      </c>
      <c r="R16" s="79">
        <v>324</v>
      </c>
      <c r="S16" s="79">
        <v>647.9128856624319</v>
      </c>
      <c r="T16" s="79">
        <v>0</v>
      </c>
      <c r="U16" s="79">
        <v>76.225045372050815</v>
      </c>
      <c r="V16" s="1">
        <v>0</v>
      </c>
      <c r="W16" s="28">
        <v>0</v>
      </c>
      <c r="AA16" s="1"/>
      <c r="AB16" s="1"/>
    </row>
    <row r="17" spans="1:28" x14ac:dyDescent="0.25">
      <c r="A17" s="21" t="s">
        <v>55</v>
      </c>
      <c r="B17" s="26" t="str">
        <f t="shared" si="0"/>
        <v/>
      </c>
      <c r="C17" s="49">
        <v>0</v>
      </c>
      <c r="D17" s="1">
        <v>0</v>
      </c>
      <c r="E17" s="105"/>
      <c r="F17" s="1"/>
      <c r="G17" s="1"/>
      <c r="H17" s="1"/>
      <c r="I17" s="1"/>
      <c r="J17" s="1"/>
      <c r="K17" s="1"/>
      <c r="L17" s="1">
        <v>0</v>
      </c>
      <c r="M17" s="79">
        <v>0</v>
      </c>
      <c r="N17" s="79">
        <v>0</v>
      </c>
      <c r="O17" s="79">
        <v>0</v>
      </c>
      <c r="P17" s="79">
        <v>95</v>
      </c>
      <c r="Q17" s="79">
        <v>19</v>
      </c>
      <c r="R17" s="79">
        <v>0</v>
      </c>
      <c r="S17" s="79">
        <v>0</v>
      </c>
      <c r="T17" s="79">
        <v>19.056261343012704</v>
      </c>
      <c r="U17" s="79">
        <v>0</v>
      </c>
      <c r="V17" s="1">
        <v>19.056261343012704</v>
      </c>
      <c r="W17" s="28">
        <v>0</v>
      </c>
      <c r="AA17" s="1"/>
      <c r="AB17" s="1"/>
    </row>
    <row r="18" spans="1:28" x14ac:dyDescent="0.25">
      <c r="A18" s="20" t="s">
        <v>22</v>
      </c>
      <c r="B18" s="26">
        <f t="shared" si="0"/>
        <v>0.5165887504098976</v>
      </c>
      <c r="C18" s="49">
        <v>-22467.597632860387</v>
      </c>
      <c r="D18" s="1">
        <v>-13722.367583541534</v>
      </c>
      <c r="E18" s="105">
        <v>91016.015172579413</v>
      </c>
      <c r="F18" s="1">
        <v>60013.642556678577</v>
      </c>
      <c r="G18" s="1">
        <v>49683.58888930668</v>
      </c>
      <c r="H18" s="1">
        <v>52299.903329173496</v>
      </c>
      <c r="I18" s="1">
        <v>41641.571000000004</v>
      </c>
      <c r="J18" s="1">
        <v>33329</v>
      </c>
      <c r="K18" s="1">
        <v>31519</v>
      </c>
      <c r="L18" s="1">
        <v>24564</v>
      </c>
      <c r="M18" s="1">
        <v>31252</v>
      </c>
      <c r="N18" s="1">
        <v>18694</v>
      </c>
      <c r="O18" s="1">
        <v>18084</v>
      </c>
      <c r="P18" s="1">
        <v>9566</v>
      </c>
      <c r="Q18" s="1">
        <v>8880</v>
      </c>
      <c r="R18" s="1">
        <v>5450</v>
      </c>
      <c r="S18" s="1">
        <v>6002.7223230490017</v>
      </c>
      <c r="T18" s="1">
        <v>9642.4682395644286</v>
      </c>
      <c r="U18" s="1">
        <v>7412.8856624319424</v>
      </c>
      <c r="V18" s="1">
        <v>6231.397459165154</v>
      </c>
      <c r="W18" s="28">
        <v>1467.3321234119783</v>
      </c>
      <c r="AA18" s="1"/>
      <c r="AB18" s="1"/>
    </row>
    <row r="19" spans="1:28" x14ac:dyDescent="0.25">
      <c r="A19" s="21" t="s">
        <v>19</v>
      </c>
      <c r="B19" s="26">
        <f t="shared" si="0"/>
        <v>-0.11105457540598807</v>
      </c>
      <c r="C19" s="49">
        <v>-41779.417069919757</v>
      </c>
      <c r="D19" s="1">
        <v>-39338.504077977734</v>
      </c>
      <c r="E19" s="105">
        <v>125544.15311582759</v>
      </c>
      <c r="F19" s="1">
        <v>141228.18976560293</v>
      </c>
      <c r="G19" s="1">
        <v>113395.04526645834</v>
      </c>
      <c r="H19" s="1">
        <v>131987.61779736457</v>
      </c>
      <c r="I19" s="1">
        <v>138521.24</v>
      </c>
      <c r="J19" s="1">
        <v>157462</v>
      </c>
      <c r="K19" s="1">
        <v>171449</v>
      </c>
      <c r="L19" s="1">
        <v>155804</v>
      </c>
      <c r="M19" s="79">
        <v>225436</v>
      </c>
      <c r="N19" s="79">
        <v>162607</v>
      </c>
      <c r="O19" s="79">
        <v>239937</v>
      </c>
      <c r="P19" s="79">
        <v>188771</v>
      </c>
      <c r="Q19" s="79">
        <v>228294</v>
      </c>
      <c r="R19" s="79">
        <v>189743</v>
      </c>
      <c r="S19" s="79">
        <v>179128.85662431942</v>
      </c>
      <c r="T19" s="79">
        <v>215659.70961887477</v>
      </c>
      <c r="U19" s="79">
        <v>201786.75136116153</v>
      </c>
      <c r="V19" s="1">
        <v>154165.15426497278</v>
      </c>
      <c r="W19" s="28">
        <v>184598.00362976408</v>
      </c>
      <c r="AA19" s="1"/>
      <c r="AB19" s="1"/>
    </row>
    <row r="20" spans="1:28" x14ac:dyDescent="0.25">
      <c r="A20" s="21" t="s">
        <v>56</v>
      </c>
      <c r="B20" s="26">
        <f t="shared" si="0"/>
        <v>-0.5426335997681776</v>
      </c>
      <c r="C20" s="49">
        <v>-4.0197355829400294</v>
      </c>
      <c r="D20" s="1">
        <v>229.42974230022003</v>
      </c>
      <c r="E20" s="105">
        <v>360.82365848759997</v>
      </c>
      <c r="F20" s="1">
        <v>788.91597263094002</v>
      </c>
      <c r="G20" s="1">
        <v>2688.9363926732999</v>
      </c>
      <c r="H20" s="1">
        <v>1835.6093963176199</v>
      </c>
      <c r="I20" s="1">
        <v>1023.9690000000001</v>
      </c>
      <c r="J20" s="1">
        <v>1734</v>
      </c>
      <c r="K20" s="1">
        <v>2706</v>
      </c>
      <c r="L20" s="1">
        <v>2496</v>
      </c>
      <c r="M20" s="79">
        <v>1353</v>
      </c>
      <c r="N20" s="79">
        <v>1925</v>
      </c>
      <c r="O20" s="79">
        <v>2458</v>
      </c>
      <c r="P20" s="79">
        <v>1505</v>
      </c>
      <c r="Q20" s="79">
        <v>515</v>
      </c>
      <c r="R20" s="79">
        <v>1810</v>
      </c>
      <c r="S20" s="79">
        <v>419.23774954627947</v>
      </c>
      <c r="T20" s="79">
        <v>1886.5698729582577</v>
      </c>
      <c r="U20" s="79">
        <v>1772.2323049001816</v>
      </c>
      <c r="V20" s="1">
        <v>5411.9782214156075</v>
      </c>
      <c r="W20" s="28">
        <v>1295.8257713248638</v>
      </c>
      <c r="AA20" s="1"/>
      <c r="AB20" s="1"/>
    </row>
    <row r="21" spans="1:28" x14ac:dyDescent="0.25">
      <c r="A21" s="21" t="s">
        <v>57</v>
      </c>
      <c r="B21" s="26">
        <f t="shared" si="0"/>
        <v>13.083142201834864</v>
      </c>
      <c r="C21" s="49">
        <v>-10.535136385619978</v>
      </c>
      <c r="D21" s="1">
        <v>-11.182866289979998</v>
      </c>
      <c r="E21" s="105">
        <v>467.90865238193999</v>
      </c>
      <c r="F21" s="1">
        <v>33.224733917759998</v>
      </c>
      <c r="G21" s="1">
        <v>24.842346920160001</v>
      </c>
      <c r="H21" s="1">
        <v>39.225760972860002</v>
      </c>
      <c r="I21" s="1">
        <v>29.137</v>
      </c>
      <c r="J21" s="1">
        <v>210</v>
      </c>
      <c r="K21" s="1">
        <v>19</v>
      </c>
      <c r="L21" s="1">
        <v>152</v>
      </c>
      <c r="M21" s="79">
        <v>76</v>
      </c>
      <c r="N21" s="79">
        <v>267</v>
      </c>
      <c r="O21" s="79">
        <v>305</v>
      </c>
      <c r="P21" s="79">
        <v>972</v>
      </c>
      <c r="Q21" s="79">
        <v>0</v>
      </c>
      <c r="R21" s="79">
        <v>743</v>
      </c>
      <c r="S21" s="79">
        <v>343.0127041742287</v>
      </c>
      <c r="T21" s="79">
        <v>1562.6134301270417</v>
      </c>
      <c r="U21" s="79">
        <v>533.57531760435575</v>
      </c>
      <c r="V21" s="1">
        <v>285.84392014519057</v>
      </c>
      <c r="W21" s="28">
        <v>1029.0381125226861</v>
      </c>
      <c r="AA21" s="1"/>
      <c r="AB21" s="1"/>
    </row>
    <row r="22" spans="1:28" x14ac:dyDescent="0.25">
      <c r="A22" s="21" t="s">
        <v>35</v>
      </c>
      <c r="B22" s="26">
        <f t="shared" si="0"/>
        <v>-0.4614234904994533</v>
      </c>
      <c r="C22" s="49">
        <v>-449.39119746905988</v>
      </c>
      <c r="D22" s="1">
        <v>-609.91390847310004</v>
      </c>
      <c r="E22" s="105">
        <v>741.40307905817997</v>
      </c>
      <c r="F22" s="1">
        <v>1376.5975046808599</v>
      </c>
      <c r="G22" s="1">
        <v>864.24315033209996</v>
      </c>
      <c r="H22" s="1">
        <v>1251.4522769825999</v>
      </c>
      <c r="I22" s="1">
        <v>848.97500000000002</v>
      </c>
      <c r="J22" s="1">
        <v>133</v>
      </c>
      <c r="K22" s="1">
        <v>1734</v>
      </c>
      <c r="L22" s="1">
        <v>743</v>
      </c>
      <c r="M22" s="79">
        <v>534</v>
      </c>
      <c r="N22" s="79">
        <v>1334</v>
      </c>
      <c r="O22" s="79">
        <v>2134</v>
      </c>
      <c r="P22" s="79">
        <v>1582</v>
      </c>
      <c r="Q22" s="79">
        <v>0</v>
      </c>
      <c r="R22" s="79">
        <v>781</v>
      </c>
      <c r="S22" s="79">
        <v>285.84392014519057</v>
      </c>
      <c r="T22" s="79">
        <v>2686.9328493647913</v>
      </c>
      <c r="U22" s="79">
        <v>1753.1760435571689</v>
      </c>
      <c r="V22" s="1">
        <v>552.63157894736844</v>
      </c>
      <c r="W22" s="28">
        <v>514.51905626134305</v>
      </c>
      <c r="AA22" s="1"/>
      <c r="AB22" s="1"/>
    </row>
    <row r="23" spans="1:28" x14ac:dyDescent="0.25">
      <c r="A23" s="21" t="s">
        <v>21</v>
      </c>
      <c r="B23" s="26">
        <f t="shared" si="0"/>
        <v>4.5944412932501413E-2</v>
      </c>
      <c r="C23" s="49">
        <v>-23.165869520640001</v>
      </c>
      <c r="D23" s="1">
        <v>-27.604724453459994</v>
      </c>
      <c r="E23" s="105">
        <v>70.259643743520002</v>
      </c>
      <c r="F23" s="1">
        <v>67.173401258040002</v>
      </c>
      <c r="G23" s="1">
        <v>50.21811846744</v>
      </c>
      <c r="H23" s="1">
        <v>54.199752291300001</v>
      </c>
      <c r="I23" s="1">
        <v>52.862000000000002</v>
      </c>
      <c r="J23" s="1">
        <v>38</v>
      </c>
      <c r="K23" s="1">
        <v>133</v>
      </c>
      <c r="L23" s="1">
        <v>57</v>
      </c>
      <c r="M23" s="79">
        <v>0</v>
      </c>
      <c r="N23" s="79">
        <v>57</v>
      </c>
      <c r="O23" s="79">
        <v>191</v>
      </c>
      <c r="P23" s="79">
        <v>0</v>
      </c>
      <c r="Q23" s="79">
        <v>0</v>
      </c>
      <c r="R23" s="79">
        <v>114</v>
      </c>
      <c r="S23" s="79">
        <v>38.112522686025407</v>
      </c>
      <c r="T23" s="79">
        <v>247.73139745916515</v>
      </c>
      <c r="U23" s="79">
        <v>171.50635208711435</v>
      </c>
      <c r="V23" s="1">
        <v>0</v>
      </c>
      <c r="W23" s="28">
        <v>247.73139745916515</v>
      </c>
      <c r="AA23" s="1"/>
      <c r="AB23" s="1"/>
    </row>
    <row r="24" spans="1:28" x14ac:dyDescent="0.25">
      <c r="A24" s="21" t="s">
        <v>58</v>
      </c>
      <c r="B24" s="26" t="str">
        <f t="shared" si="0"/>
        <v/>
      </c>
      <c r="C24" s="49">
        <v>0</v>
      </c>
      <c r="D24" s="1">
        <v>0</v>
      </c>
      <c r="E24" s="105"/>
      <c r="F24" s="1"/>
      <c r="G24" s="1"/>
      <c r="H24" s="1"/>
      <c r="I24" s="1"/>
      <c r="J24" s="1"/>
      <c r="K24" s="1"/>
      <c r="L24" s="1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19.056261343012704</v>
      </c>
      <c r="V24" s="1">
        <v>0</v>
      </c>
      <c r="W24" s="28">
        <v>0</v>
      </c>
      <c r="AA24" s="1"/>
      <c r="AB24" s="1"/>
    </row>
    <row r="25" spans="1:28" x14ac:dyDescent="0.25">
      <c r="A25" s="21" t="s">
        <v>59</v>
      </c>
      <c r="B25" s="26">
        <f t="shared" si="0"/>
        <v>-3.6411784177424814E-2</v>
      </c>
      <c r="C25" s="49">
        <v>-109.63781175270003</v>
      </c>
      <c r="D25" s="1">
        <v>-116.13416167583995</v>
      </c>
      <c r="E25" s="105">
        <v>332.74266204563997</v>
      </c>
      <c r="F25" s="1">
        <v>345.31624254204002</v>
      </c>
      <c r="G25" s="1">
        <v>258.12036688745997</v>
      </c>
      <c r="H25" s="1">
        <v>283.91525778462</v>
      </c>
      <c r="I25" s="1">
        <v>282.27999999999997</v>
      </c>
      <c r="J25" s="1">
        <v>95</v>
      </c>
      <c r="K25" s="1">
        <v>191</v>
      </c>
      <c r="L25" s="1">
        <v>0</v>
      </c>
      <c r="M25" s="79">
        <v>19</v>
      </c>
      <c r="N25" s="79">
        <v>38</v>
      </c>
      <c r="O25" s="79">
        <v>19</v>
      </c>
      <c r="P25" s="79">
        <v>0</v>
      </c>
      <c r="Q25" s="79">
        <v>0</v>
      </c>
      <c r="R25" s="79">
        <v>95</v>
      </c>
      <c r="S25" s="79">
        <v>0</v>
      </c>
      <c r="T25" s="79">
        <v>0</v>
      </c>
      <c r="U25" s="79">
        <v>19.056261343012704</v>
      </c>
      <c r="V25" s="1">
        <v>0</v>
      </c>
      <c r="W25" s="28">
        <v>0</v>
      </c>
      <c r="AA25" s="1"/>
      <c r="AB25" s="1"/>
    </row>
    <row r="26" spans="1:28" ht="13.8" thickBot="1" x14ac:dyDescent="0.3">
      <c r="A26" s="21" t="s">
        <v>60</v>
      </c>
      <c r="B26" s="26">
        <f t="shared" si="0"/>
        <v>4.9103412867835566E-2</v>
      </c>
      <c r="C26" s="49">
        <v>-21534.637960027496</v>
      </c>
      <c r="D26" s="1">
        <v>-29685.728229132335</v>
      </c>
      <c r="E26" s="105">
        <v>73963.458591048169</v>
      </c>
      <c r="F26" s="1">
        <v>70501.589913678006</v>
      </c>
      <c r="G26" s="1">
        <v>46181.389499950317</v>
      </c>
      <c r="H26" s="1">
        <f>30277.2580388494+10588.8979676819</f>
        <v>40866.156006531295</v>
      </c>
      <c r="I26" s="1">
        <f>21992.431+7823</f>
        <v>29815.431</v>
      </c>
      <c r="J26" s="37">
        <f>28108+10100</f>
        <v>38208</v>
      </c>
      <c r="K26" s="1">
        <f>13606+6098</f>
        <v>19704</v>
      </c>
      <c r="L26" s="1">
        <v>45773</v>
      </c>
      <c r="M26" s="79">
        <v>12253</v>
      </c>
      <c r="N26" s="79">
        <v>16236</v>
      </c>
      <c r="O26" s="79">
        <v>12977</v>
      </c>
      <c r="P26" s="79">
        <v>18332</v>
      </c>
      <c r="Q26" s="79">
        <v>7127</v>
      </c>
      <c r="R26" s="79">
        <v>1277</v>
      </c>
      <c r="S26" s="79">
        <v>4287.6588021778589</v>
      </c>
      <c r="T26" s="79">
        <v>4668.7840290381127</v>
      </c>
      <c r="U26" s="79">
        <v>5812.1597096188743</v>
      </c>
      <c r="V26" s="1">
        <v>1867.5136116152451</v>
      </c>
      <c r="W26" s="28">
        <v>4897.4591651542651</v>
      </c>
      <c r="AA26" s="1"/>
      <c r="AB26" s="1"/>
    </row>
    <row r="27" spans="1:28" ht="13.8" thickBot="1" x14ac:dyDescent="0.3">
      <c r="A27" s="23" t="s">
        <v>23</v>
      </c>
      <c r="B27" s="114">
        <f t="shared" si="0"/>
        <v>-1.5479575528813421E-2</v>
      </c>
      <c r="C27" s="70">
        <v>-238101.95032826171</v>
      </c>
      <c r="D27" s="45">
        <v>-246926.96546109451</v>
      </c>
      <c r="E27" s="44">
        <f>SUM(E2:E26)</f>
        <v>758512.388209861</v>
      </c>
      <c r="F27" s="45">
        <f t="shared" ref="F27:L27" si="1">SUM(F2:F26)</f>
        <v>770438.44836157584</v>
      </c>
      <c r="G27" s="45">
        <f t="shared" si="1"/>
        <v>558269.41255274124</v>
      </c>
      <c r="H27" s="45">
        <f t="shared" si="1"/>
        <v>611531.89967243234</v>
      </c>
      <c r="I27" s="45">
        <f t="shared" si="1"/>
        <v>527891.44799999997</v>
      </c>
      <c r="J27" s="45">
        <f t="shared" si="1"/>
        <v>650028</v>
      </c>
      <c r="K27" s="45">
        <f t="shared" si="1"/>
        <v>529478</v>
      </c>
      <c r="L27" s="45">
        <f t="shared" si="1"/>
        <v>601148</v>
      </c>
      <c r="M27" s="45">
        <v>483000</v>
      </c>
      <c r="N27" s="45">
        <f>SUM(N2:N26)</f>
        <v>432558</v>
      </c>
      <c r="O27" s="45">
        <f>SUM(O2:O26)</f>
        <v>567779</v>
      </c>
      <c r="P27" s="45">
        <f>SUM(P2:P26)</f>
        <v>449099</v>
      </c>
      <c r="Q27" s="45">
        <f>SUM(Q2:Q26)</f>
        <v>474407</v>
      </c>
      <c r="R27" s="45">
        <f t="shared" ref="R27:W27" si="2">SUM(R2:R26)</f>
        <v>374988</v>
      </c>
      <c r="S27" s="45">
        <f t="shared" si="2"/>
        <v>386594.3738656987</v>
      </c>
      <c r="T27" s="45">
        <f t="shared" si="2"/>
        <v>425754.99092558981</v>
      </c>
      <c r="U27" s="45">
        <f t="shared" si="2"/>
        <v>464991.83303085301</v>
      </c>
      <c r="V27" s="45">
        <f t="shared" si="2"/>
        <v>300574.41016333934</v>
      </c>
      <c r="W27" s="90">
        <f t="shared" si="2"/>
        <v>322031.76043557166</v>
      </c>
    </row>
    <row r="28" spans="1:28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28" ht="13.8" thickBot="1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28" ht="13.8" thickBot="1" x14ac:dyDescent="0.3">
      <c r="A30" s="23" t="s">
        <v>25</v>
      </c>
      <c r="B30" s="118" t="s">
        <v>171</v>
      </c>
      <c r="C30" s="48" t="s">
        <v>172</v>
      </c>
      <c r="D30" s="78" t="s">
        <v>169</v>
      </c>
      <c r="E30" s="104">
        <v>45809</v>
      </c>
      <c r="F30" s="110">
        <v>45444</v>
      </c>
      <c r="G30" s="110">
        <v>45078</v>
      </c>
      <c r="H30" s="110">
        <v>44713</v>
      </c>
      <c r="I30" s="110">
        <v>44348</v>
      </c>
      <c r="J30" s="110">
        <v>43983</v>
      </c>
      <c r="K30" s="110">
        <v>43617</v>
      </c>
      <c r="L30" s="110">
        <v>43252</v>
      </c>
      <c r="M30" s="24">
        <v>42887</v>
      </c>
      <c r="N30" s="24">
        <v>42522</v>
      </c>
      <c r="O30" s="24">
        <v>42156</v>
      </c>
      <c r="P30" s="24">
        <v>41791</v>
      </c>
      <c r="Q30" s="24">
        <v>41426</v>
      </c>
      <c r="R30" s="24">
        <v>41061</v>
      </c>
      <c r="S30" s="24">
        <v>40695</v>
      </c>
      <c r="T30" s="24">
        <v>40330</v>
      </c>
      <c r="U30" s="24">
        <v>39965</v>
      </c>
      <c r="V30" s="24">
        <v>39600</v>
      </c>
      <c r="W30" s="25">
        <v>39234</v>
      </c>
    </row>
    <row r="31" spans="1:28" x14ac:dyDescent="0.25">
      <c r="A31" s="20" t="s">
        <v>42</v>
      </c>
      <c r="B31" s="26">
        <f t="shared" ref="B31:B41" si="3">IFERROR(((E31-F31)/F31),"")</f>
        <v>0.34320129561477652</v>
      </c>
      <c r="C31" s="49">
        <v>-9994.6800000000021</v>
      </c>
      <c r="D31" s="1">
        <v>-10037.720000000001</v>
      </c>
      <c r="E31" s="105">
        <v>9438.3799999999992</v>
      </c>
      <c r="F31" s="1">
        <v>7026.78</v>
      </c>
      <c r="G31" s="1">
        <v>14420.54</v>
      </c>
      <c r="H31" s="1">
        <v>16404</v>
      </c>
      <c r="I31" s="1">
        <v>12851.68</v>
      </c>
      <c r="J31" s="1">
        <v>20881.22</v>
      </c>
      <c r="K31" s="1">
        <v>22687</v>
      </c>
      <c r="L31" s="1">
        <v>15547</v>
      </c>
      <c r="M31" s="1">
        <v>21776</v>
      </c>
      <c r="N31" s="1">
        <v>12223</v>
      </c>
      <c r="O31" s="1">
        <v>22607</v>
      </c>
      <c r="P31" s="1">
        <v>15106.58</v>
      </c>
      <c r="Q31" s="1">
        <v>11496.02</v>
      </c>
      <c r="R31" s="1">
        <v>17882.68</v>
      </c>
      <c r="S31" s="1">
        <v>30161.360000000001</v>
      </c>
      <c r="T31" s="1">
        <v>16106.2</v>
      </c>
      <c r="U31" s="1">
        <v>14838.18</v>
      </c>
      <c r="V31" s="1">
        <v>30892.32</v>
      </c>
      <c r="W31" s="28">
        <v>20243</v>
      </c>
    </row>
    <row r="32" spans="1:28" x14ac:dyDescent="0.25">
      <c r="A32" s="20" t="s">
        <v>43</v>
      </c>
      <c r="B32" s="26">
        <f t="shared" si="3"/>
        <v>-0.9987133600018715</v>
      </c>
      <c r="C32" s="49">
        <v>-1.4</v>
      </c>
      <c r="D32" s="1">
        <v>-2274.7399999999998</v>
      </c>
      <c r="E32" s="105">
        <v>1.1000000000000001</v>
      </c>
      <c r="F32" s="1">
        <v>854.94</v>
      </c>
      <c r="G32" s="1">
        <v>20.260000000000002</v>
      </c>
      <c r="H32" s="1">
        <v>70</v>
      </c>
      <c r="I32" s="1">
        <v>39.56</v>
      </c>
      <c r="J32" s="1">
        <v>77.040000000000006</v>
      </c>
      <c r="K32" s="1">
        <v>895</v>
      </c>
      <c r="L32" s="1">
        <v>2</v>
      </c>
      <c r="M32" s="1">
        <v>758</v>
      </c>
      <c r="N32" s="1">
        <v>314</v>
      </c>
      <c r="O32" s="1">
        <v>14</v>
      </c>
      <c r="P32" s="1">
        <v>1.88</v>
      </c>
      <c r="Q32" s="1">
        <v>0</v>
      </c>
      <c r="R32" s="1">
        <v>117.16</v>
      </c>
      <c r="S32" s="1">
        <v>0</v>
      </c>
      <c r="T32" s="1">
        <v>0</v>
      </c>
      <c r="U32" s="1">
        <v>20.04</v>
      </c>
      <c r="V32" s="1">
        <v>291.18</v>
      </c>
      <c r="W32" s="28">
        <v>141</v>
      </c>
    </row>
    <row r="33" spans="1:24" x14ac:dyDescent="0.25">
      <c r="A33" s="20" t="s">
        <v>44</v>
      </c>
      <c r="B33" s="26">
        <f t="shared" si="3"/>
        <v>-2.5988522914865142E-2</v>
      </c>
      <c r="C33" s="49">
        <v>-1472.3400000000001</v>
      </c>
      <c r="D33" s="1">
        <v>-1133.3000000000002</v>
      </c>
      <c r="E33" s="105">
        <v>1239.04</v>
      </c>
      <c r="F33" s="1">
        <v>1272.0999999999999</v>
      </c>
      <c r="G33" s="1">
        <v>1580.02</v>
      </c>
      <c r="H33" s="1">
        <v>2170</v>
      </c>
      <c r="I33" s="1">
        <v>875.66</v>
      </c>
      <c r="J33" s="1">
        <v>2738.38</v>
      </c>
      <c r="K33" s="1">
        <v>2176</v>
      </c>
      <c r="L33" s="1">
        <v>929</v>
      </c>
      <c r="M33" s="1">
        <v>3046</v>
      </c>
      <c r="N33" s="1">
        <v>195</v>
      </c>
      <c r="O33" s="1">
        <v>1825</v>
      </c>
      <c r="P33" s="1">
        <v>642.29999999999995</v>
      </c>
      <c r="Q33" s="1">
        <v>78.66</v>
      </c>
      <c r="R33" s="1">
        <v>1065.4000000000001</v>
      </c>
      <c r="S33" s="1">
        <v>1301.78</v>
      </c>
      <c r="T33" s="1">
        <v>340.34</v>
      </c>
      <c r="U33" s="1">
        <v>1512.6</v>
      </c>
      <c r="V33" s="1">
        <v>1802.92</v>
      </c>
      <c r="W33" s="28">
        <v>1098</v>
      </c>
    </row>
    <row r="34" spans="1:24" hidden="1" x14ac:dyDescent="0.25">
      <c r="A34" s="20" t="s">
        <v>45</v>
      </c>
      <c r="B34" s="26" t="str">
        <f t="shared" si="3"/>
        <v/>
      </c>
      <c r="C34" s="49">
        <v>0</v>
      </c>
      <c r="D34" s="1">
        <v>0</v>
      </c>
      <c r="E34" s="105"/>
      <c r="F34" s="1"/>
      <c r="G34" s="1"/>
      <c r="H34" s="1"/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0.2</v>
      </c>
      <c r="W34" s="28">
        <v>0</v>
      </c>
    </row>
    <row r="35" spans="1:24" hidden="1" x14ac:dyDescent="0.25">
      <c r="A35" s="20" t="s">
        <v>155</v>
      </c>
      <c r="B35" s="26" t="str">
        <f t="shared" si="3"/>
        <v/>
      </c>
      <c r="C35" s="49">
        <v>0</v>
      </c>
      <c r="D35" s="1">
        <v>0</v>
      </c>
      <c r="E35" s="105"/>
      <c r="F35" s="1"/>
      <c r="G35" s="1"/>
      <c r="H35" s="1"/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/>
      <c r="U35" s="1"/>
      <c r="V35" s="1"/>
      <c r="W35" s="28"/>
    </row>
    <row r="36" spans="1:24" hidden="1" x14ac:dyDescent="0.25">
      <c r="A36" s="20" t="s">
        <v>46</v>
      </c>
      <c r="B36" s="26" t="str">
        <f t="shared" si="3"/>
        <v/>
      </c>
      <c r="C36" s="49">
        <v>0</v>
      </c>
      <c r="D36" s="1">
        <v>0</v>
      </c>
      <c r="E36" s="105"/>
      <c r="F36" s="1"/>
      <c r="G36" s="1"/>
      <c r="H36" s="1"/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28">
        <v>0</v>
      </c>
    </row>
    <row r="37" spans="1:24" x14ac:dyDescent="0.25">
      <c r="A37" s="20" t="s">
        <v>164</v>
      </c>
      <c r="B37" s="26" t="str">
        <f t="shared" si="3"/>
        <v/>
      </c>
      <c r="C37" s="49">
        <v>0</v>
      </c>
      <c r="D37" s="1">
        <v>0</v>
      </c>
      <c r="E37" s="105"/>
      <c r="F37" s="1"/>
      <c r="G37" s="1">
        <v>0</v>
      </c>
      <c r="H37" s="1"/>
      <c r="I37" s="1">
        <v>0</v>
      </c>
      <c r="J37" s="1">
        <v>0</v>
      </c>
      <c r="K37" s="1">
        <v>0</v>
      </c>
      <c r="L37" s="1">
        <v>0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28"/>
    </row>
    <row r="38" spans="1:24" hidden="1" x14ac:dyDescent="0.25">
      <c r="A38" s="20" t="s">
        <v>47</v>
      </c>
      <c r="B38" s="119" t="str">
        <f t="shared" si="3"/>
        <v/>
      </c>
      <c r="C38" s="120">
        <v>0</v>
      </c>
      <c r="D38" s="1">
        <v>0</v>
      </c>
      <c r="E38" s="105"/>
      <c r="F38" s="1"/>
      <c r="G38" s="1"/>
      <c r="H38" s="1"/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8">
        <v>0</v>
      </c>
    </row>
    <row r="39" spans="1:24" ht="13.8" thickBot="1" x14ac:dyDescent="0.3">
      <c r="A39" s="71" t="s">
        <v>49</v>
      </c>
      <c r="B39" s="26" t="str">
        <f t="shared" si="3"/>
        <v/>
      </c>
      <c r="C39" s="49">
        <v>0</v>
      </c>
      <c r="D39" s="1">
        <v>-3.04</v>
      </c>
      <c r="E39" s="105"/>
      <c r="F39" s="1"/>
      <c r="G39" s="1">
        <v>0</v>
      </c>
      <c r="H39" s="1"/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28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18.82</v>
      </c>
      <c r="W39" s="28">
        <v>110</v>
      </c>
    </row>
    <row r="40" spans="1:24" ht="13.8" hidden="1" thickBot="1" x14ac:dyDescent="0.3">
      <c r="A40" s="29" t="s">
        <v>48</v>
      </c>
      <c r="B40" s="26" t="str">
        <f t="shared" si="3"/>
        <v/>
      </c>
      <c r="C40" s="49">
        <v>0</v>
      </c>
      <c r="D40" s="1">
        <v>0</v>
      </c>
      <c r="E40" s="105"/>
      <c r="F40" s="10"/>
      <c r="G40" s="10"/>
      <c r="H40" s="10"/>
      <c r="I40" s="10">
        <v>0</v>
      </c>
      <c r="J40" s="10">
        <v>0</v>
      </c>
      <c r="K40" s="10">
        <v>0</v>
      </c>
      <c r="L40" s="10">
        <v>0</v>
      </c>
      <c r="M40" s="8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/>
      <c r="V40" s="10"/>
      <c r="W40" s="30"/>
    </row>
    <row r="41" spans="1:24" ht="13.8" thickBot="1" x14ac:dyDescent="0.3">
      <c r="A41" s="23" t="s">
        <v>23</v>
      </c>
      <c r="B41" s="114">
        <f t="shared" si="3"/>
        <v>0.16656434144433699</v>
      </c>
      <c r="C41" s="70">
        <v>-11468.420000000002</v>
      </c>
      <c r="D41" s="45">
        <v>-13448.800000000003</v>
      </c>
      <c r="E41" s="44">
        <f>SUM(E31:E40)</f>
        <v>10678.52</v>
      </c>
      <c r="F41" s="45">
        <f>SUM(F31:F40)</f>
        <v>9153.82</v>
      </c>
      <c r="G41" s="45">
        <f>SUM(G31:G40)</f>
        <v>16020.820000000002</v>
      </c>
      <c r="H41" s="45">
        <f>SUM(H31:H40)</f>
        <v>18644</v>
      </c>
      <c r="I41" s="45">
        <f t="shared" ref="I41:P41" si="4">SUM(I31:I40)</f>
        <v>13766.9</v>
      </c>
      <c r="J41" s="45">
        <f t="shared" si="4"/>
        <v>23696.640000000003</v>
      </c>
      <c r="K41" s="45">
        <f t="shared" si="4"/>
        <v>25758</v>
      </c>
      <c r="L41" s="45">
        <f t="shared" si="4"/>
        <v>16478</v>
      </c>
      <c r="M41" s="45">
        <f t="shared" si="4"/>
        <v>25583</v>
      </c>
      <c r="N41" s="45">
        <f t="shared" si="4"/>
        <v>12760</v>
      </c>
      <c r="O41" s="45">
        <f t="shared" si="4"/>
        <v>24447</v>
      </c>
      <c r="P41" s="45">
        <f t="shared" si="4"/>
        <v>15750.759999999998</v>
      </c>
      <c r="Q41" s="45">
        <f t="shared" ref="Q41:W41" si="5">SUM(Q31:Q40)</f>
        <v>11574.68</v>
      </c>
      <c r="R41" s="45">
        <f t="shared" si="5"/>
        <v>19065.240000000002</v>
      </c>
      <c r="S41" s="45">
        <f t="shared" si="5"/>
        <v>31463.14</v>
      </c>
      <c r="T41" s="45">
        <f t="shared" si="5"/>
        <v>16446.54</v>
      </c>
      <c r="U41" s="45">
        <f t="shared" si="5"/>
        <v>16370.820000000002</v>
      </c>
      <c r="V41" s="45">
        <f t="shared" si="5"/>
        <v>33005.439999999995</v>
      </c>
      <c r="W41" s="90">
        <f t="shared" si="5"/>
        <v>21592</v>
      </c>
    </row>
    <row r="42" spans="1:24" x14ac:dyDescent="0.25">
      <c r="B42" t="str">
        <f t="shared" ref="B42:B50" si="6">IFERROR((F42/G42-1), "")</f>
        <v/>
      </c>
    </row>
    <row r="43" spans="1:24" x14ac:dyDescent="0.25">
      <c r="B43" t="str">
        <f t="shared" si="6"/>
        <v/>
      </c>
      <c r="F43" s="1"/>
    </row>
    <row r="44" spans="1:24" x14ac:dyDescent="0.25">
      <c r="B44" t="str">
        <f t="shared" si="6"/>
        <v/>
      </c>
      <c r="F44" s="1"/>
    </row>
    <row r="45" spans="1:24" x14ac:dyDescent="0.25">
      <c r="B45" t="str">
        <f t="shared" si="6"/>
        <v/>
      </c>
      <c r="C45" s="1"/>
    </row>
    <row r="46" spans="1:24" x14ac:dyDescent="0.25">
      <c r="B46" t="str">
        <f t="shared" si="6"/>
        <v/>
      </c>
    </row>
    <row r="47" spans="1:24" x14ac:dyDescent="0.25">
      <c r="B47" t="str">
        <f t="shared" si="6"/>
        <v/>
      </c>
    </row>
    <row r="48" spans="1:24" ht="17.399999999999999" x14ac:dyDescent="0.3">
      <c r="B48" t="str">
        <f t="shared" si="6"/>
        <v/>
      </c>
      <c r="V48" s="5"/>
      <c r="W48" s="1"/>
      <c r="X48" s="1"/>
    </row>
    <row r="49" spans="2:24" ht="17.399999999999999" x14ac:dyDescent="0.3">
      <c r="B49" t="str">
        <f t="shared" si="6"/>
        <v/>
      </c>
      <c r="V49" s="5"/>
      <c r="W49" s="1"/>
      <c r="X49" s="1"/>
    </row>
    <row r="50" spans="2:24" ht="17.399999999999999" x14ac:dyDescent="0.3">
      <c r="B50" t="str">
        <f t="shared" si="6"/>
        <v/>
      </c>
      <c r="V50" s="5"/>
      <c r="W50" s="1"/>
      <c r="X50" s="1"/>
    </row>
    <row r="51" spans="2:24" ht="17.399999999999999" x14ac:dyDescent="0.3">
      <c r="V51" s="5"/>
      <c r="W51" s="1"/>
      <c r="X51" s="1"/>
    </row>
    <row r="52" spans="2:24" ht="17.399999999999999" x14ac:dyDescent="0.3">
      <c r="V52" s="5"/>
      <c r="W52" s="1"/>
      <c r="X52" s="1"/>
    </row>
    <row r="53" spans="2:24" ht="17.399999999999999" x14ac:dyDescent="0.3">
      <c r="V53" s="5"/>
      <c r="W53" s="1"/>
      <c r="X53" s="1"/>
    </row>
    <row r="54" spans="2:24" ht="17.399999999999999" x14ac:dyDescent="0.3">
      <c r="V54" s="5"/>
      <c r="W54" s="1"/>
      <c r="X54" s="1"/>
    </row>
    <row r="55" spans="2:24" ht="17.399999999999999" x14ac:dyDescent="0.3">
      <c r="V55" s="5"/>
      <c r="W55" s="1"/>
      <c r="X55" s="1"/>
    </row>
    <row r="56" spans="2:24" ht="17.399999999999999" x14ac:dyDescent="0.3">
      <c r="V56" s="5"/>
      <c r="W56" s="1"/>
      <c r="X56" s="1"/>
    </row>
    <row r="57" spans="2:24" ht="17.399999999999999" x14ac:dyDescent="0.3">
      <c r="V57" s="5"/>
      <c r="W57" s="1"/>
      <c r="X57" s="1"/>
    </row>
    <row r="58" spans="2:24" ht="17.399999999999999" x14ac:dyDescent="0.3">
      <c r="V58" s="6"/>
      <c r="W58" s="1"/>
      <c r="X58" s="1"/>
    </row>
    <row r="59" spans="2:24" ht="18" x14ac:dyDescent="0.35">
      <c r="V59" s="7"/>
      <c r="W59" s="2"/>
      <c r="X59" s="2"/>
    </row>
  </sheetData>
  <phoneticPr fontId="2" type="noConversion"/>
  <conditionalFormatting sqref="E1:E2">
    <cfRule type="expression" dxfId="34" priority="7">
      <formula>ISBLANK(XFD1)=FALSE</formula>
    </cfRule>
  </conditionalFormatting>
  <conditionalFormatting sqref="E3:E11">
    <cfRule type="expression" dxfId="33" priority="4">
      <formula>ISBLANK(XFC3)=FALSE</formula>
    </cfRule>
  </conditionalFormatting>
  <conditionalFormatting sqref="E12 E17 E24">
    <cfRule type="expression" dxfId="32" priority="12">
      <formula>ISBLANK(XFD12)=FALSE</formula>
    </cfRule>
  </conditionalFormatting>
  <conditionalFormatting sqref="E13:E16">
    <cfRule type="expression" dxfId="31" priority="3">
      <formula>ISBLANK(XFC13)=FALSE</formula>
    </cfRule>
  </conditionalFormatting>
  <conditionalFormatting sqref="E18:E23">
    <cfRule type="expression" dxfId="30" priority="2">
      <formula>ISBLANK(XFC18)=FALSE</formula>
    </cfRule>
  </conditionalFormatting>
  <conditionalFormatting sqref="E25">
    <cfRule type="expression" dxfId="29" priority="1">
      <formula>ISBLANK(XFC25)=FALSE</formula>
    </cfRule>
  </conditionalFormatting>
  <conditionalFormatting sqref="E26:E41">
    <cfRule type="expression" dxfId="28" priority="6">
      <formula>ISBLANK(XFD26)=FALSE</formula>
    </cfRule>
  </conditionalFormatting>
  <pageMargins left="0.75" right="0.75" top="1" bottom="1" header="0.5" footer="0.5"/>
  <pageSetup paperSize="9" scale="85" orientation="landscape"/>
  <headerFooter alignWithMargins="0"/>
  <ignoredErrors>
    <ignoredError sqref="H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81"/>
  <sheetViews>
    <sheetView tabSelected="1"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33203125" customWidth="1"/>
    <col min="4" max="4" width="11.33203125" bestFit="1" customWidth="1"/>
    <col min="5" max="5" width="11.33203125" customWidth="1"/>
    <col min="6" max="12" width="11.6640625" customWidth="1"/>
    <col min="13" max="13" width="10.6640625" customWidth="1"/>
    <col min="14" max="23" width="10.109375" bestFit="1" customWidth="1"/>
  </cols>
  <sheetData>
    <row r="1" spans="1:25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  <c r="X1" t="s">
        <v>153</v>
      </c>
    </row>
    <row r="2" spans="1:25" x14ac:dyDescent="0.25">
      <c r="A2" s="20" t="s">
        <v>8</v>
      </c>
      <c r="B2" s="26">
        <f t="shared" ref="B2:B16" si="0">IFERROR(((E2-F2)/F2),"")</f>
        <v>-0.60421742118805966</v>
      </c>
      <c r="C2" s="49">
        <v>-6268.6875309541956</v>
      </c>
      <c r="D2" s="1">
        <v>-12888.837182119703</v>
      </c>
      <c r="E2" s="105">
        <f>Austria!E$21</f>
        <v>9832.1995464852625</v>
      </c>
      <c r="F2" s="1">
        <f>Austria!F$21</f>
        <v>24842.426303854878</v>
      </c>
      <c r="G2" s="1">
        <f>Austria!G$21</f>
        <v>36629.638218923923</v>
      </c>
      <c r="H2" s="1">
        <f>Austria!H$21</f>
        <v>29827.922077922074</v>
      </c>
      <c r="I2" s="1">
        <f>Austria!I$21</f>
        <v>33802.5</v>
      </c>
      <c r="J2" s="1">
        <f>Austria!J$21</f>
        <v>20224.430000000004</v>
      </c>
      <c r="K2" s="1">
        <f>Austria!K$21</f>
        <v>44922</v>
      </c>
      <c r="L2" s="1">
        <f>Austria!L$21</f>
        <v>11222</v>
      </c>
      <c r="M2" s="1">
        <f>Austria!M$21</f>
        <v>6282</v>
      </c>
      <c r="N2" s="1">
        <f>Austria!N$21</f>
        <v>42160</v>
      </c>
      <c r="O2" s="1">
        <f>Austria!O$21</f>
        <v>39345</v>
      </c>
      <c r="P2" s="1">
        <f>Austria!P$21</f>
        <v>40541</v>
      </c>
      <c r="Q2" s="1">
        <f>Austria!Q$21</f>
        <v>27673</v>
      </c>
      <c r="R2" s="1">
        <f>Austria!R$21</f>
        <v>42860</v>
      </c>
      <c r="S2" s="1">
        <f>Austria!S$21</f>
        <v>34582</v>
      </c>
      <c r="T2" s="1">
        <f>Austria!T$21</f>
        <v>41884</v>
      </c>
      <c r="U2" s="1">
        <f>Austria!U$21</f>
        <v>48073</v>
      </c>
      <c r="V2" s="1">
        <f>Austria!V$21</f>
        <v>24817</v>
      </c>
      <c r="W2" s="28">
        <f>Austria!W$21</f>
        <v>24834</v>
      </c>
      <c r="Y2" s="3"/>
    </row>
    <row r="3" spans="1:25" x14ac:dyDescent="0.25">
      <c r="A3" s="20" t="s">
        <v>0</v>
      </c>
      <c r="B3" s="26">
        <f t="shared" si="0"/>
        <v>-0.50253210960780814</v>
      </c>
      <c r="C3" s="49">
        <v>-10670.75108460513</v>
      </c>
      <c r="D3" s="1">
        <v>-16125.107823311751</v>
      </c>
      <c r="E3" s="105">
        <f>Belgium!E$10</f>
        <v>8774</v>
      </c>
      <c r="F3" s="1">
        <f>Belgium!F$10</f>
        <v>17637.319251063192</v>
      </c>
      <c r="G3" s="1">
        <f>Belgium!G$10</f>
        <v>19036.495263468401</v>
      </c>
      <c r="H3" s="1">
        <f>Belgium!H$10</f>
        <v>58157</v>
      </c>
      <c r="I3" s="1">
        <f>Belgium!I$10</f>
        <v>23537</v>
      </c>
      <c r="J3" s="1">
        <f>Belgium!J$10</f>
        <v>49615</v>
      </c>
      <c r="K3" s="1">
        <f>Belgium!K$10</f>
        <v>38585</v>
      </c>
      <c r="L3" s="1">
        <f>Belgium!L$10</f>
        <v>1827</v>
      </c>
      <c r="M3" s="1">
        <f>Belgium!M$10</f>
        <v>19516</v>
      </c>
      <c r="N3" s="1">
        <f>Belgium!N$10</f>
        <v>41312</v>
      </c>
      <c r="O3" s="1">
        <f>Belgium!O$10</f>
        <v>46651</v>
      </c>
      <c r="P3" s="1">
        <f>Belgium!P$10</f>
        <v>20238</v>
      </c>
      <c r="Q3" s="1">
        <f>Belgium!Q$10</f>
        <v>8416</v>
      </c>
      <c r="R3" s="1">
        <f>Belgium!R$10</f>
        <v>19140</v>
      </c>
      <c r="S3" s="1">
        <f>Belgium!S$10</f>
        <v>34540</v>
      </c>
      <c r="T3" s="1">
        <f>Belgium!T$10</f>
        <v>65514</v>
      </c>
      <c r="U3" s="1">
        <f>Belgium!U$10</f>
        <v>92200</v>
      </c>
      <c r="V3" s="1">
        <f>Belgium!V$10</f>
        <v>98100</v>
      </c>
      <c r="W3" s="28">
        <f>Belgium!W$10</f>
        <v>67200</v>
      </c>
    </row>
    <row r="4" spans="1:25" x14ac:dyDescent="0.25">
      <c r="A4" s="20" t="s">
        <v>31</v>
      </c>
      <c r="B4" s="26">
        <f t="shared" si="0"/>
        <v>-0.98346403000340943</v>
      </c>
      <c r="C4" s="49">
        <v>-2848</v>
      </c>
      <c r="D4" s="1">
        <v>-5243</v>
      </c>
      <c r="E4" s="105">
        <f>'Czech Republic'!E$12</f>
        <v>97</v>
      </c>
      <c r="F4" s="1">
        <f>'Czech Republic'!F$12</f>
        <v>5866</v>
      </c>
      <c r="G4" s="1">
        <f>'Czech Republic'!G$12</f>
        <v>6639</v>
      </c>
      <c r="H4" s="1">
        <f>'Czech Republic'!H$12</f>
        <v>7800</v>
      </c>
      <c r="I4" s="1">
        <f>'Czech Republic'!I$12</f>
        <v>7733</v>
      </c>
      <c r="J4" s="1">
        <f>'Czech Republic'!J$12</f>
        <v>4630</v>
      </c>
      <c r="K4" s="1">
        <f>'Czech Republic'!K$12</f>
        <v>9738</v>
      </c>
      <c r="L4" s="1">
        <f>'Czech Republic'!L$12</f>
        <v>2668</v>
      </c>
      <c r="M4" s="1">
        <f>'Czech Republic'!M$12</f>
        <v>3662</v>
      </c>
      <c r="N4" s="1">
        <f>'Czech Republic'!N$12</f>
        <v>8285</v>
      </c>
      <c r="O4" s="1">
        <f>'Czech Republic'!O$12</f>
        <v>3161</v>
      </c>
      <c r="P4" s="1">
        <f>'Czech Republic'!P$12</f>
        <v>4096</v>
      </c>
      <c r="Q4" s="1">
        <f>'Czech Republic'!Q$12</f>
        <v>0</v>
      </c>
      <c r="R4" s="1">
        <f>'Czech Republic'!R$12</f>
        <v>0</v>
      </c>
      <c r="S4" s="1">
        <f>'Czech Republic'!S$12</f>
        <v>1545</v>
      </c>
      <c r="T4" s="1">
        <f>'Czech Republic'!T$12</f>
        <v>4706</v>
      </c>
      <c r="U4" s="1">
        <f>'Czech Republic'!U$12</f>
        <v>3917</v>
      </c>
      <c r="V4" s="1">
        <f>'Czech Republic'!V$12</f>
        <v>0</v>
      </c>
      <c r="W4" s="28">
        <f>'Czech Republic'!W$12</f>
        <v>3211</v>
      </c>
      <c r="Y4" s="3"/>
    </row>
    <row r="5" spans="1:25" x14ac:dyDescent="0.25">
      <c r="A5" s="20" t="s">
        <v>41</v>
      </c>
      <c r="B5" s="26" t="str">
        <f t="shared" si="0"/>
        <v/>
      </c>
      <c r="C5" s="49">
        <v>-2090</v>
      </c>
      <c r="D5" s="1">
        <v>0</v>
      </c>
      <c r="E5" s="105">
        <f>Denmark!E$20</f>
        <v>0</v>
      </c>
      <c r="F5" s="1">
        <f>Denmark!F$20</f>
        <v>0</v>
      </c>
      <c r="G5" s="1">
        <f>Denmark!G$20</f>
        <v>166</v>
      </c>
      <c r="H5" s="1">
        <f>Denmark!H$20</f>
        <v>928</v>
      </c>
      <c r="I5" s="1">
        <f>Denmark!I$20</f>
        <v>0</v>
      </c>
      <c r="J5" s="1">
        <f>Denmark!J$20</f>
        <v>0</v>
      </c>
      <c r="K5" s="1">
        <f>Denmark!K$20</f>
        <v>1464</v>
      </c>
      <c r="L5" s="1">
        <f>Denmark!L$20</f>
        <v>0</v>
      </c>
      <c r="M5" s="1">
        <f>Denmark!M$20</f>
        <v>580</v>
      </c>
      <c r="N5" s="1">
        <f>Denmark!N$20</f>
        <v>956</v>
      </c>
      <c r="O5" s="1">
        <f>Denmark!O$20</f>
        <v>0</v>
      </c>
      <c r="P5" s="1">
        <f>Denmark!P$20</f>
        <v>0</v>
      </c>
      <c r="Q5" s="1">
        <f>Denmark!Q$20</f>
        <v>0</v>
      </c>
      <c r="R5" s="1">
        <f>Denmark!R$20</f>
        <v>0</v>
      </c>
      <c r="S5" s="1">
        <f>Denmark!S$20</f>
        <v>0</v>
      </c>
      <c r="T5" s="1">
        <f>Denmark!T$20</f>
        <v>0</v>
      </c>
      <c r="U5" s="1">
        <f>Denmark!U$20</f>
        <v>0</v>
      </c>
      <c r="V5" s="1">
        <f>Denmark!V$20</f>
        <v>0</v>
      </c>
      <c r="W5" s="28">
        <f>Denmark!W$20</f>
        <v>0</v>
      </c>
      <c r="Y5" s="3"/>
    </row>
    <row r="6" spans="1:25" ht="14.4" x14ac:dyDescent="0.3">
      <c r="A6" s="20" t="s">
        <v>134</v>
      </c>
      <c r="B6" s="26">
        <f t="shared" si="0"/>
        <v>0.18761828557282689</v>
      </c>
      <c r="C6" s="49">
        <v>-86186.860600000073</v>
      </c>
      <c r="D6" s="1">
        <v>-81381</v>
      </c>
      <c r="E6" s="105">
        <f>France!E$26</f>
        <v>139125.91929999995</v>
      </c>
      <c r="F6" s="1">
        <f>France!F$26</f>
        <v>117147</v>
      </c>
      <c r="G6" s="1">
        <f>France!G$26</f>
        <v>93356</v>
      </c>
      <c r="H6" s="1">
        <f>France!H$26</f>
        <v>133883</v>
      </c>
      <c r="I6" s="1">
        <f>France!I$26</f>
        <v>87462</v>
      </c>
      <c r="J6" s="1">
        <f>France!J$26</f>
        <v>153194</v>
      </c>
      <c r="K6" s="1">
        <f>France!K$26</f>
        <v>143478</v>
      </c>
      <c r="L6" s="1">
        <f>France!L$26</f>
        <v>81162</v>
      </c>
      <c r="M6" s="37">
        <f>France!M$26</f>
        <v>123894</v>
      </c>
      <c r="N6" s="37">
        <f>France!N$26</f>
        <v>120512</v>
      </c>
      <c r="O6" s="37">
        <f>France!O$26</f>
        <v>103904</v>
      </c>
      <c r="P6" s="37">
        <f>France!P$26</f>
        <v>155509</v>
      </c>
      <c r="Q6" s="37">
        <f>France!Q$26</f>
        <v>40682</v>
      </c>
      <c r="R6" s="37">
        <f>France!R$26</f>
        <v>90045</v>
      </c>
      <c r="S6" s="37">
        <f>France!S$26</f>
        <v>92624</v>
      </c>
      <c r="T6" s="37">
        <f>France!T$26</f>
        <v>122738</v>
      </c>
      <c r="U6" s="95">
        <f>France!U$26</f>
        <v>0</v>
      </c>
      <c r="V6" s="95">
        <f>France!V$26</f>
        <v>0</v>
      </c>
      <c r="W6" s="75">
        <f>France!W$26</f>
        <v>0</v>
      </c>
      <c r="Y6" s="3"/>
    </row>
    <row r="7" spans="1:25" x14ac:dyDescent="0.25">
      <c r="A7" s="20" t="s">
        <v>28</v>
      </c>
      <c r="B7" s="26">
        <f t="shared" si="0"/>
        <v>-1.4966480208377812E-2</v>
      </c>
      <c r="C7" s="49">
        <v>-31691</v>
      </c>
      <c r="D7" s="1">
        <v>-36499</v>
      </c>
      <c r="E7" s="105">
        <f>Germany!E$21</f>
        <v>46137</v>
      </c>
      <c r="F7" s="1">
        <f>Germany!F$21</f>
        <v>46838</v>
      </c>
      <c r="G7" s="1">
        <f>Germany!G$21</f>
        <v>61166</v>
      </c>
      <c r="H7" s="1">
        <f>Germany!H$21</f>
        <v>85310</v>
      </c>
      <c r="I7" s="1">
        <f>Germany!I$21</f>
        <v>60577</v>
      </c>
      <c r="J7" s="1">
        <f>Germany!J$21</f>
        <v>37885</v>
      </c>
      <c r="K7" s="1">
        <f>Germany!K$21</f>
        <v>87391</v>
      </c>
      <c r="L7" s="1">
        <f>Germany!L$21</f>
        <v>25295</v>
      </c>
      <c r="M7" s="1">
        <f>Germany!M$21</f>
        <v>76611</v>
      </c>
      <c r="N7" s="1">
        <f>Germany!N$21</f>
        <v>70110</v>
      </c>
      <c r="O7" s="1">
        <f>Germany!O$21</f>
        <v>65957</v>
      </c>
      <c r="P7" s="1">
        <f>Germany!P$21</f>
        <v>60430</v>
      </c>
      <c r="Q7" s="1">
        <f>Germany!Q$21</f>
        <v>55397</v>
      </c>
      <c r="R7" s="1">
        <f>Germany!R$21</f>
        <v>55482</v>
      </c>
      <c r="S7" s="1">
        <f>Germany!S$21</f>
        <v>34799</v>
      </c>
      <c r="T7" s="1">
        <f>Germany!T$21</f>
        <v>59463</v>
      </c>
      <c r="U7" s="1">
        <f>Germany!U$21</f>
        <v>55541</v>
      </c>
      <c r="V7" s="1">
        <f>Germany!V$21</f>
        <v>29739</v>
      </c>
      <c r="W7" s="28">
        <f>Germany!W$21</f>
        <v>40724</v>
      </c>
      <c r="Y7" s="3"/>
    </row>
    <row r="8" spans="1:25" x14ac:dyDescent="0.25">
      <c r="A8" s="20" t="s">
        <v>16</v>
      </c>
      <c r="B8" s="26">
        <f t="shared" si="0"/>
        <v>-6.9547751477828476E-2</v>
      </c>
      <c r="C8" s="49">
        <v>-198281.34123252818</v>
      </c>
      <c r="D8" s="1">
        <v>-178199.9587866111</v>
      </c>
      <c r="E8" s="105">
        <f>Italy!E$20</f>
        <v>250404.09116116722</v>
      </c>
      <c r="F8" s="1">
        <f>Italy!F$20</f>
        <v>269120.84049329953</v>
      </c>
      <c r="G8" s="1">
        <f>Italy!G$20</f>
        <v>199633.00500000003</v>
      </c>
      <c r="H8" s="1">
        <f>Italy!H$20</f>
        <v>261291.58900000001</v>
      </c>
      <c r="I8" s="1">
        <f>Italy!I$20</f>
        <v>244699.21709999998</v>
      </c>
      <c r="J8" s="1">
        <f>Italy!J$20</f>
        <v>206588</v>
      </c>
      <c r="K8" s="1">
        <f>Italy!K$20</f>
        <v>305460</v>
      </c>
      <c r="L8" s="1">
        <f>Italy!L$20</f>
        <v>68698.400000000009</v>
      </c>
      <c r="M8" s="1">
        <f>Italy!M$20</f>
        <v>270262</v>
      </c>
      <c r="N8" s="1">
        <f>Italy!N$20</f>
        <v>261969</v>
      </c>
      <c r="O8" s="1">
        <f>Italy!O$20</f>
        <v>257594</v>
      </c>
      <c r="P8" s="1">
        <f>Italy!P$20</f>
        <v>236941</v>
      </c>
      <c r="Q8" s="1">
        <f>Italy!Q$20</f>
        <v>136070</v>
      </c>
      <c r="R8" s="1">
        <f>Italy!R$20</f>
        <v>194164.00000000003</v>
      </c>
      <c r="S8" s="1">
        <f>Italy!S$20</f>
        <v>188539.00000000003</v>
      </c>
      <c r="T8" s="1">
        <f>Italy!T$20</f>
        <v>196811.96</v>
      </c>
      <c r="U8" s="1">
        <f>Italy!U$20</f>
        <v>224900.40000000002</v>
      </c>
      <c r="V8" s="1">
        <f>Italy!V$20</f>
        <v>123320</v>
      </c>
      <c r="W8" s="28">
        <f>Italy!W$20</f>
        <v>140692</v>
      </c>
    </row>
    <row r="9" spans="1:25" x14ac:dyDescent="0.25">
      <c r="A9" s="20" t="s">
        <v>32</v>
      </c>
      <c r="B9" s="26">
        <f t="shared" si="0"/>
        <v>-0.40229885057471265</v>
      </c>
      <c r="C9" s="49">
        <v>-122000</v>
      </c>
      <c r="D9" s="1">
        <v>-139000</v>
      </c>
      <c r="E9" s="105">
        <f>Poland!E$18</f>
        <v>104000</v>
      </c>
      <c r="F9" s="1">
        <f>Poland!F$18</f>
        <v>174000</v>
      </c>
      <c r="G9" s="1">
        <f>Poland!G$18</f>
        <v>177000</v>
      </c>
      <c r="H9" s="1">
        <f>Poland!H$18</f>
        <v>205000</v>
      </c>
      <c r="I9" s="1">
        <f>Poland!I$18</f>
        <v>237000</v>
      </c>
      <c r="J9" s="1">
        <f>Poland!J$18</f>
        <v>58000</v>
      </c>
      <c r="K9" s="1">
        <f>Poland!K$18</f>
        <v>238000</v>
      </c>
      <c r="L9" s="1">
        <f>Poland!L$18</f>
        <v>92000</v>
      </c>
      <c r="M9" s="37">
        <f>Poland!M$18</f>
        <v>144000</v>
      </c>
      <c r="N9" s="37">
        <f>Poland!N$18</f>
        <v>152000</v>
      </c>
      <c r="O9" s="37">
        <f>Poland!O$18</f>
        <v>104000</v>
      </c>
      <c r="P9" s="37">
        <f>Poland!P$18</f>
        <v>112000</v>
      </c>
      <c r="Q9" s="37">
        <f>Poland!Q$18</f>
        <v>56000</v>
      </c>
      <c r="R9" s="37">
        <f>Poland!R$18</f>
        <v>54000</v>
      </c>
      <c r="S9" s="37">
        <f>Poland!S$18</f>
        <v>15000</v>
      </c>
      <c r="T9" s="37">
        <f>Poland!T$18</f>
        <v>70000</v>
      </c>
      <c r="U9" s="37">
        <f>Poland!U$18</f>
        <v>25000</v>
      </c>
      <c r="V9" s="37">
        <f>Poland!V$18</f>
        <v>0</v>
      </c>
      <c r="W9" s="65">
        <f>Poland!W$18</f>
        <v>30000</v>
      </c>
      <c r="Y9" s="3"/>
    </row>
    <row r="10" spans="1:25" hidden="1" x14ac:dyDescent="0.25">
      <c r="A10" s="20" t="s">
        <v>150</v>
      </c>
      <c r="B10" s="119" t="str">
        <f t="shared" si="0"/>
        <v/>
      </c>
      <c r="C10" s="120">
        <v>0</v>
      </c>
      <c r="D10" s="1">
        <v>0</v>
      </c>
      <c r="E10" s="105"/>
      <c r="F10" s="1"/>
      <c r="G10" s="1"/>
      <c r="H10" s="1"/>
      <c r="I10" s="1"/>
      <c r="J10" s="1"/>
      <c r="K10" s="1"/>
      <c r="L10" s="1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65"/>
      <c r="Y10" s="3"/>
    </row>
    <row r="11" spans="1:25" hidden="1" x14ac:dyDescent="0.25">
      <c r="A11" s="20" t="s">
        <v>166</v>
      </c>
      <c r="B11" s="26" t="str">
        <f t="shared" si="0"/>
        <v/>
      </c>
      <c r="C11" s="49">
        <v>0</v>
      </c>
      <c r="D11" s="1">
        <v>0</v>
      </c>
      <c r="E11" s="105"/>
      <c r="F11" s="1"/>
      <c r="G11" s="1"/>
      <c r="H11" s="1"/>
      <c r="I11" s="1"/>
      <c r="J11" s="1"/>
      <c r="K11" s="1"/>
      <c r="L11" s="1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65"/>
      <c r="Y11" s="3"/>
    </row>
    <row r="12" spans="1:25" x14ac:dyDescent="0.25">
      <c r="A12" s="20" t="s">
        <v>38</v>
      </c>
      <c r="B12" s="26">
        <f t="shared" si="0"/>
        <v>-0.12863851225276776</v>
      </c>
      <c r="C12" s="49">
        <v>-29692</v>
      </c>
      <c r="D12" s="1">
        <v>-25446</v>
      </c>
      <c r="E12" s="105">
        <f>Spain!E$8</f>
        <v>56039</v>
      </c>
      <c r="F12" s="1">
        <f>Spain!F$8</f>
        <v>64312</v>
      </c>
      <c r="G12" s="1">
        <f>Spain!G$8</f>
        <v>42896.27317667639</v>
      </c>
      <c r="H12" s="1">
        <f>Spain!H$8</f>
        <v>81614.004033469188</v>
      </c>
      <c r="I12" s="1">
        <f>Spain!I$8</f>
        <v>42857.999398886372</v>
      </c>
      <c r="J12" s="1">
        <f>Spain!J$8</f>
        <v>69474.681657232024</v>
      </c>
      <c r="K12" s="1">
        <f>Spain!K$8</f>
        <v>53231</v>
      </c>
      <c r="L12" s="1">
        <f>Spain!L$8</f>
        <v>32543</v>
      </c>
      <c r="M12" s="1">
        <f>Spain!M$8</f>
        <v>69579</v>
      </c>
      <c r="N12" s="1">
        <f>Spain!N$8</f>
        <v>33883</v>
      </c>
      <c r="O12" s="1">
        <f>Spain!O$8</f>
        <v>38873.374422847439</v>
      </c>
      <c r="P12" s="1">
        <f>Spain!P$8</f>
        <v>43051.802363938928</v>
      </c>
      <c r="Q12" s="1">
        <f>Spain!Q$8</f>
        <v>15077.808781553598</v>
      </c>
      <c r="R12" s="1">
        <f>Spain!R$8</f>
        <v>40948</v>
      </c>
      <c r="S12" s="1">
        <f>Spain!S$8</f>
        <v>24079.430829880122</v>
      </c>
      <c r="T12" s="1">
        <f>Spain!T$8</f>
        <v>25949</v>
      </c>
      <c r="U12" s="1">
        <f>Spain!U$8</f>
        <v>45987</v>
      </c>
      <c r="V12" s="1">
        <f>Spain!V$8</f>
        <v>45862</v>
      </c>
      <c r="W12" s="28">
        <f>Spain!W$8</f>
        <v>40135</v>
      </c>
      <c r="Y12" s="3"/>
    </row>
    <row r="13" spans="1:25" x14ac:dyDescent="0.25">
      <c r="A13" s="20" t="s">
        <v>61</v>
      </c>
      <c r="B13" s="26">
        <f t="shared" si="0"/>
        <v>1.1391949152542373</v>
      </c>
      <c r="C13" s="49">
        <v>-9205</v>
      </c>
      <c r="D13" s="1">
        <v>-7660</v>
      </c>
      <c r="E13" s="105">
        <f>Switzerland!E$19</f>
        <v>20194</v>
      </c>
      <c r="F13" s="1">
        <f>Switzerland!F$19</f>
        <v>9440</v>
      </c>
      <c r="G13" s="1">
        <f>Switzerland!G$19</f>
        <v>10081</v>
      </c>
      <c r="H13" s="1">
        <f>Switzerland!H$19</f>
        <v>18630</v>
      </c>
      <c r="I13" s="1">
        <f>Switzerland!I$19</f>
        <v>15676</v>
      </c>
      <c r="J13" s="1">
        <f>Switzerland!J$19</f>
        <v>12157</v>
      </c>
      <c r="K13" s="1">
        <f>Switzerland!K$19</f>
        <v>19228</v>
      </c>
      <c r="L13" s="1">
        <f>Switzerland!L$19</f>
        <v>3119</v>
      </c>
      <c r="M13" s="1">
        <f>Switzerland!M$19</f>
        <v>14633</v>
      </c>
      <c r="N13" s="1">
        <f>Switzerland!N$19</f>
        <v>13313</v>
      </c>
      <c r="O13" s="1">
        <f>Switzerland!O$19</f>
        <v>14687</v>
      </c>
      <c r="P13" s="1">
        <f>Switzerland!P$19</f>
        <v>15905</v>
      </c>
      <c r="Q13" s="1">
        <f>Switzerland!Q$19</f>
        <v>12375</v>
      </c>
      <c r="R13" s="1">
        <f>Switzerland!R$19</f>
        <v>17586</v>
      </c>
      <c r="S13" s="1">
        <f>Switzerland!S$19</f>
        <v>15797</v>
      </c>
      <c r="T13" s="1">
        <f>Switzerland!T$19</f>
        <v>16272</v>
      </c>
      <c r="U13" s="1">
        <f>Switzerland!U$19</f>
        <v>12311</v>
      </c>
      <c r="V13" s="1">
        <f>Switzerland!V$19</f>
        <v>12402</v>
      </c>
      <c r="W13" s="28">
        <f>Switzerland!W$19</f>
        <v>15651</v>
      </c>
      <c r="Y13" s="3"/>
    </row>
    <row r="14" spans="1:25" x14ac:dyDescent="0.25">
      <c r="A14" s="20" t="s">
        <v>1</v>
      </c>
      <c r="B14" s="26">
        <f t="shared" si="0"/>
        <v>0.28521341463414634</v>
      </c>
      <c r="C14" s="49">
        <v>-10655</v>
      </c>
      <c r="D14" s="1">
        <v>-15660</v>
      </c>
      <c r="E14" s="105">
        <f>Netherlands!E$8</f>
        <v>25293</v>
      </c>
      <c r="F14" s="1">
        <f>Netherlands!F$8</f>
        <v>19680</v>
      </c>
      <c r="G14" s="1">
        <f>Netherlands!G$8</f>
        <v>35788</v>
      </c>
      <c r="H14" s="1">
        <f>Netherlands!H$8</f>
        <v>36527</v>
      </c>
      <c r="I14" s="1">
        <f>Netherlands!I$8</f>
        <v>25896</v>
      </c>
      <c r="J14" s="1">
        <f>Netherlands!J$8</f>
        <v>37674</v>
      </c>
      <c r="K14" s="1">
        <f>Netherlands!K$8</f>
        <v>36550.617399999996</v>
      </c>
      <c r="L14" s="1">
        <f>Netherlands!L$8</f>
        <v>17697</v>
      </c>
      <c r="M14" s="1">
        <f>Netherlands!M$8</f>
        <v>56878</v>
      </c>
      <c r="N14" s="1">
        <f>Netherlands!N$8</f>
        <v>48294</v>
      </c>
      <c r="O14" s="1">
        <f>Netherlands!O$8</f>
        <v>61283</v>
      </c>
      <c r="P14" s="1">
        <f>Netherlands!P$8</f>
        <v>46000</v>
      </c>
      <c r="Q14" s="1">
        <f>Netherlands!Q$8</f>
        <v>33000</v>
      </c>
      <c r="R14" s="1">
        <f>Netherlands!R$8</f>
        <v>59000</v>
      </c>
      <c r="S14" s="1">
        <f>Netherlands!S$8</f>
        <v>36000</v>
      </c>
      <c r="T14" s="1">
        <f>Netherlands!T$8</f>
        <v>58000</v>
      </c>
      <c r="U14" s="1">
        <f>Netherlands!U$8</f>
        <v>47000</v>
      </c>
      <c r="V14" s="1">
        <f>Netherlands!V$8</f>
        <v>43000</v>
      </c>
      <c r="W14" s="28">
        <f>Netherlands!W$8</f>
        <v>44000</v>
      </c>
    </row>
    <row r="15" spans="1:25" ht="13.8" thickBot="1" x14ac:dyDescent="0.3">
      <c r="A15" s="20" t="s">
        <v>170</v>
      </c>
      <c r="B15" s="26">
        <f t="shared" si="0"/>
        <v>5.4840386043058649</v>
      </c>
      <c r="C15" s="49">
        <v>-12866</v>
      </c>
      <c r="D15" s="1">
        <v>-8104</v>
      </c>
      <c r="E15" s="105">
        <f>UK!E$12</f>
        <v>17468</v>
      </c>
      <c r="F15" s="1">
        <f>UK!F$12</f>
        <v>2694</v>
      </c>
      <c r="G15" s="1">
        <f>UK!G$12</f>
        <v>19810</v>
      </c>
      <c r="H15" s="1">
        <f>UK!H$12</f>
        <v>8892</v>
      </c>
      <c r="I15" s="1">
        <f>UK!I$12</f>
        <v>6044</v>
      </c>
      <c r="J15" s="1">
        <f>UK!J$12</f>
        <v>4424</v>
      </c>
      <c r="K15" s="1">
        <f>UK!K$12</f>
        <v>7182</v>
      </c>
      <c r="L15" s="1">
        <f>UK!L$12</f>
        <v>6330</v>
      </c>
      <c r="M15" s="1">
        <f>UK!M$12</f>
        <v>0</v>
      </c>
      <c r="N15" s="1">
        <f>UK!N$12</f>
        <v>5230</v>
      </c>
      <c r="O15" s="1">
        <f>UK!O$12</f>
        <v>12000</v>
      </c>
      <c r="P15" s="1">
        <f>UK!P$12</f>
        <v>14300</v>
      </c>
      <c r="Q15" s="1">
        <f>UK!Q$12</f>
        <v>5000</v>
      </c>
      <c r="R15" s="1">
        <f>UK!R$12</f>
        <v>5000</v>
      </c>
      <c r="S15" s="1">
        <f>UK!S$12</f>
        <v>9000</v>
      </c>
      <c r="T15" s="1">
        <f>UK!T$12</f>
        <v>12000</v>
      </c>
      <c r="U15" s="1">
        <f>UK!U$12</f>
        <v>15000</v>
      </c>
      <c r="V15" s="1">
        <f>UK!V$12</f>
        <v>7000</v>
      </c>
      <c r="W15" s="28">
        <f>UK!W$12</f>
        <v>11000</v>
      </c>
    </row>
    <row r="16" spans="1:25" ht="13.8" thickBot="1" x14ac:dyDescent="0.3">
      <c r="A16" s="23" t="s">
        <v>23</v>
      </c>
      <c r="B16" s="114">
        <f t="shared" si="0"/>
        <v>-9.8743466301034727E-2</v>
      </c>
      <c r="C16" s="70">
        <v>-522454.64044808759</v>
      </c>
      <c r="D16" s="45">
        <v>-526206.90379204263</v>
      </c>
      <c r="E16" s="44">
        <f t="shared" ref="E16:F16" si="1">SUM(E2:E15)</f>
        <v>677364.21000765241</v>
      </c>
      <c r="F16" s="45">
        <f t="shared" si="1"/>
        <v>751577.58604821761</v>
      </c>
      <c r="G16" s="45">
        <f t="shared" ref="G16:L16" si="2">SUM(G2:G15)</f>
        <v>702201.41165906866</v>
      </c>
      <c r="H16" s="45">
        <f t="shared" si="2"/>
        <v>927860.5151113912</v>
      </c>
      <c r="I16" s="45">
        <f t="shared" si="2"/>
        <v>785284.71649888635</v>
      </c>
      <c r="J16" s="45">
        <f t="shared" si="2"/>
        <v>653866.11165723193</v>
      </c>
      <c r="K16" s="45">
        <f t="shared" si="2"/>
        <v>985229.61739999999</v>
      </c>
      <c r="L16" s="45">
        <f t="shared" si="2"/>
        <v>342561.4</v>
      </c>
      <c r="M16" s="45">
        <f t="shared" ref="M16:W16" si="3">SUM(M2:M15)</f>
        <v>785897</v>
      </c>
      <c r="N16" s="45">
        <f t="shared" si="3"/>
        <v>798024</v>
      </c>
      <c r="O16" s="45">
        <f t="shared" si="3"/>
        <v>747455.37442284741</v>
      </c>
      <c r="P16" s="45">
        <f t="shared" si="3"/>
        <v>749011.80236393888</v>
      </c>
      <c r="Q16" s="45">
        <f t="shared" si="3"/>
        <v>389690.80878155358</v>
      </c>
      <c r="R16" s="45">
        <f t="shared" si="3"/>
        <v>578225</v>
      </c>
      <c r="S16" s="45">
        <f t="shared" si="3"/>
        <v>486505.43082988012</v>
      </c>
      <c r="T16" s="45">
        <f t="shared" si="3"/>
        <v>673337.96</v>
      </c>
      <c r="U16" s="45">
        <f t="shared" si="3"/>
        <v>569929.4</v>
      </c>
      <c r="V16" s="45">
        <f t="shared" si="3"/>
        <v>384240</v>
      </c>
      <c r="W16" s="90">
        <f t="shared" si="3"/>
        <v>417447</v>
      </c>
    </row>
    <row r="17" spans="1:25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V17" s="1"/>
      <c r="W17" s="1"/>
    </row>
    <row r="18" spans="1:25" ht="13.8" thickBot="1" x14ac:dyDescent="0.3">
      <c r="B18" s="35"/>
      <c r="C18" s="1"/>
      <c r="D18" s="1"/>
      <c r="E18" s="121"/>
      <c r="F18" s="35"/>
      <c r="G18" s="35"/>
      <c r="H18" s="35"/>
      <c r="I18" s="35"/>
      <c r="J18" s="35"/>
      <c r="K18" s="35"/>
      <c r="L18" s="35"/>
      <c r="M18" s="35"/>
      <c r="V18" s="1"/>
      <c r="W18" s="1"/>
    </row>
    <row r="19" spans="1:25" ht="13.8" thickBot="1" x14ac:dyDescent="0.3">
      <c r="A19" s="23" t="s">
        <v>25</v>
      </c>
      <c r="B19" s="118" t="s">
        <v>171</v>
      </c>
      <c r="C19" s="48" t="s">
        <v>172</v>
      </c>
      <c r="D19" s="78" t="s">
        <v>169</v>
      </c>
      <c r="E19" s="104">
        <v>45809</v>
      </c>
      <c r="F19" s="110">
        <v>45444</v>
      </c>
      <c r="G19" s="110">
        <v>45078</v>
      </c>
      <c r="H19" s="110">
        <v>44713</v>
      </c>
      <c r="I19" s="110">
        <v>44348</v>
      </c>
      <c r="J19" s="110">
        <v>43983</v>
      </c>
      <c r="K19" s="110">
        <v>43617</v>
      </c>
      <c r="L19" s="110">
        <v>43252</v>
      </c>
      <c r="M19" s="24">
        <v>42887</v>
      </c>
      <c r="N19" s="24">
        <v>42522</v>
      </c>
      <c r="O19" s="24">
        <v>42156</v>
      </c>
      <c r="P19" s="24">
        <v>41791</v>
      </c>
      <c r="Q19" s="24">
        <v>41426</v>
      </c>
      <c r="R19" s="24">
        <v>41061</v>
      </c>
      <c r="S19" s="24">
        <v>40695</v>
      </c>
      <c r="T19" s="24">
        <v>40330</v>
      </c>
      <c r="U19" s="24">
        <v>39965</v>
      </c>
      <c r="V19" s="24">
        <v>39600</v>
      </c>
      <c r="W19" s="25">
        <v>39234</v>
      </c>
    </row>
    <row r="20" spans="1:25" x14ac:dyDescent="0.25">
      <c r="A20" s="20" t="s">
        <v>0</v>
      </c>
      <c r="B20" s="26">
        <f t="shared" ref="B20:B33" si="4">IFERROR(((E20-F20)/F20),"")</f>
        <v>-0.17546010237381346</v>
      </c>
      <c r="C20" s="49">
        <v>-4026.1467604913223</v>
      </c>
      <c r="D20" s="1">
        <v>-5895.3382270257998</v>
      </c>
      <c r="E20" s="105">
        <f>Belgium!E$20</f>
        <v>3982</v>
      </c>
      <c r="F20" s="1">
        <f>Belgium!F$20</f>
        <v>4829.3599999999997</v>
      </c>
      <c r="G20" s="1">
        <f>Belgium!G$20</f>
        <v>5093.365373103712</v>
      </c>
      <c r="H20" s="1">
        <f>Belgium!H$20</f>
        <v>12023</v>
      </c>
      <c r="I20" s="1">
        <f>Belgium!I$20</f>
        <v>13790</v>
      </c>
      <c r="J20" s="1">
        <f>Belgium!J$20</f>
        <v>815</v>
      </c>
      <c r="K20" s="1">
        <f>Belgium!K$20</f>
        <v>13085</v>
      </c>
      <c r="L20" s="1">
        <f>Belgium!L$20</f>
        <v>3525</v>
      </c>
      <c r="M20" s="1">
        <f>Belgium!M$20</f>
        <v>1914</v>
      </c>
      <c r="N20" s="1">
        <f>Belgium!N$20</f>
        <v>20272</v>
      </c>
      <c r="O20" s="1">
        <f>Belgium!O$20</f>
        <v>9837</v>
      </c>
      <c r="P20" s="1">
        <f>Belgium!P$20</f>
        <v>3865</v>
      </c>
      <c r="Q20" s="1">
        <f>Belgium!Q$20</f>
        <v>3010</v>
      </c>
      <c r="R20" s="1">
        <f>Belgium!R$20</f>
        <v>1755</v>
      </c>
      <c r="S20" s="1">
        <f>Belgium!S$20</f>
        <v>13500</v>
      </c>
      <c r="T20" s="1">
        <f>Belgium!T$20</f>
        <v>5200</v>
      </c>
      <c r="U20" s="1">
        <f>Belgium!U$20</f>
        <v>0</v>
      </c>
      <c r="V20" s="1">
        <f>Belgium!V$20</f>
        <v>44000</v>
      </c>
      <c r="W20" s="28">
        <f>Belgium!W$20</f>
        <v>27200</v>
      </c>
    </row>
    <row r="21" spans="1:25" x14ac:dyDescent="0.25">
      <c r="A21" s="20" t="s">
        <v>31</v>
      </c>
      <c r="B21" s="26">
        <f t="shared" si="4"/>
        <v>-1</v>
      </c>
      <c r="C21" s="49">
        <v>-219</v>
      </c>
      <c r="D21" s="1">
        <v>-329</v>
      </c>
      <c r="E21" s="105">
        <f>'Czech Republic'!E$21</f>
        <v>0</v>
      </c>
      <c r="F21" s="1">
        <f>'Czech Republic'!F$21</f>
        <v>211</v>
      </c>
      <c r="G21" s="1">
        <f>'Czech Republic'!G$21</f>
        <v>0</v>
      </c>
      <c r="H21" s="1">
        <f>'Czech Republic'!H$21</f>
        <v>3</v>
      </c>
      <c r="I21" s="1">
        <f>'Czech Republic'!I$21</f>
        <v>2</v>
      </c>
      <c r="J21" s="1">
        <f>'Czech Republic'!J$21</f>
        <v>0</v>
      </c>
      <c r="K21" s="1">
        <f>'Czech Republic'!K$21</f>
        <v>353</v>
      </c>
      <c r="L21" s="1">
        <f>'Czech Republic'!L$21</f>
        <v>300</v>
      </c>
      <c r="M21" s="1">
        <f>'Czech Republic'!M$21</f>
        <v>210</v>
      </c>
      <c r="N21" s="1">
        <f>'Czech Republic'!N$21</f>
        <v>528</v>
      </c>
      <c r="O21" s="1">
        <f>'Czech Republic'!O$21</f>
        <v>0</v>
      </c>
      <c r="P21" s="1">
        <f>'Czech Republic'!P$21</f>
        <v>265</v>
      </c>
      <c r="Q21" s="1">
        <f>'Czech Republic'!Q$21</f>
        <v>0</v>
      </c>
      <c r="R21" s="1">
        <f>'Czech Republic'!R$21</f>
        <v>0</v>
      </c>
      <c r="S21" s="1">
        <f>'Czech Republic'!S$21</f>
        <v>0</v>
      </c>
      <c r="T21" s="1">
        <f>'Czech Republic'!T$21</f>
        <v>0</v>
      </c>
      <c r="U21" s="1">
        <f>'Czech Republic'!U$21</f>
        <v>0</v>
      </c>
      <c r="V21" s="1">
        <f>'Czech Republic'!V$21</f>
        <v>0</v>
      </c>
      <c r="W21" s="28">
        <f>'Czech Republic'!W$21</f>
        <v>0</v>
      </c>
    </row>
    <row r="22" spans="1:25" x14ac:dyDescent="0.25">
      <c r="A22" s="20" t="s">
        <v>41</v>
      </c>
      <c r="B22" s="26" t="str">
        <f t="shared" si="4"/>
        <v/>
      </c>
      <c r="C22" s="49">
        <v>0</v>
      </c>
      <c r="D22" s="1">
        <v>0</v>
      </c>
      <c r="E22" s="105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0</v>
      </c>
      <c r="I22" s="1">
        <f>Denmark!I$27</f>
        <v>0</v>
      </c>
      <c r="J22" s="1">
        <f>Denmark!J$27</f>
        <v>0</v>
      </c>
      <c r="K22" s="1">
        <f>Denmark!K$27</f>
        <v>121</v>
      </c>
      <c r="L22" s="1">
        <f>Denmark!L$27</f>
        <v>0</v>
      </c>
      <c r="M22" s="1">
        <f>Denmark!M$27</f>
        <v>0</v>
      </c>
      <c r="N22" s="1">
        <f>Denmark!N$27</f>
        <v>0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f>Denmark!R$27</f>
        <v>0</v>
      </c>
      <c r="S22" s="1">
        <f>Denmark!S$27</f>
        <v>0</v>
      </c>
      <c r="T22" s="1">
        <f>Denmark!T$27</f>
        <v>0</v>
      </c>
      <c r="U22" s="1">
        <f>Denmark!U$27</f>
        <v>0</v>
      </c>
      <c r="V22" s="1">
        <f>Denmark!V$27</f>
        <v>0</v>
      </c>
      <c r="W22" s="28">
        <f>Denmark!W$27</f>
        <v>0</v>
      </c>
      <c r="Y22" s="3"/>
    </row>
    <row r="23" spans="1:25" x14ac:dyDescent="0.25">
      <c r="A23" s="39" t="s">
        <v>134</v>
      </c>
      <c r="B23" s="119">
        <f t="shared" si="4"/>
        <v>0.77961397058823556</v>
      </c>
      <c r="C23" s="120">
        <v>-976.90780000000007</v>
      </c>
      <c r="D23" s="1">
        <v>-414</v>
      </c>
      <c r="E23" s="105">
        <f>France!E38</f>
        <v>242.02750000000003</v>
      </c>
      <c r="F23" s="1">
        <f>France!F38</f>
        <v>136</v>
      </c>
      <c r="G23" s="1">
        <f>France!G38</f>
        <v>206</v>
      </c>
      <c r="H23" s="1">
        <f>France!H38</f>
        <v>279</v>
      </c>
      <c r="I23" s="1">
        <f>France!I38</f>
        <v>562</v>
      </c>
      <c r="J23" s="1">
        <f>France!J38</f>
        <v>308</v>
      </c>
      <c r="K23" s="1">
        <f>France!K38</f>
        <v>682</v>
      </c>
      <c r="L23" s="1">
        <f>France!L38</f>
        <v>449</v>
      </c>
      <c r="M23" s="1">
        <f>France!M38</f>
        <v>32</v>
      </c>
      <c r="N23" s="1">
        <f>France!N38</f>
        <v>199</v>
      </c>
      <c r="O23" s="1">
        <f>France!O38</f>
        <v>163</v>
      </c>
      <c r="P23" s="1">
        <f>France!P38</f>
        <v>991</v>
      </c>
      <c r="Q23" s="1">
        <f>France!Q38</f>
        <v>0</v>
      </c>
      <c r="R23" s="1">
        <f>France!R38</f>
        <v>0</v>
      </c>
      <c r="S23" s="1">
        <f>France!S38</f>
        <v>0</v>
      </c>
      <c r="T23" s="1">
        <f>France!T38</f>
        <v>0</v>
      </c>
      <c r="U23" s="1">
        <f>France!U38</f>
        <v>0</v>
      </c>
      <c r="V23" s="1">
        <f>France!V38</f>
        <v>0</v>
      </c>
      <c r="W23" s="28">
        <f>France!W38</f>
        <v>0</v>
      </c>
    </row>
    <row r="24" spans="1:25" x14ac:dyDescent="0.25">
      <c r="A24" s="20" t="s">
        <v>28</v>
      </c>
      <c r="B24" s="26">
        <f t="shared" si="4"/>
        <v>-0.67990654205607481</v>
      </c>
      <c r="C24" s="49">
        <v>-167</v>
      </c>
      <c r="D24" s="1">
        <v>428</v>
      </c>
      <c r="E24" s="105">
        <f>Germany!E$26</f>
        <v>137</v>
      </c>
      <c r="F24" s="1">
        <f>Germany!F$26</f>
        <v>428</v>
      </c>
      <c r="G24" s="1">
        <f>Germany!G$26</f>
        <v>93</v>
      </c>
      <c r="H24" s="1">
        <f>Germany!H$26</f>
        <v>313</v>
      </c>
      <c r="I24" s="1">
        <f>Germany!I$26</f>
        <v>0</v>
      </c>
      <c r="J24" s="1">
        <f>Germany!J$26</f>
        <v>219</v>
      </c>
      <c r="K24" s="1">
        <f>Germany!K$26</f>
        <v>28</v>
      </c>
      <c r="L24" s="1">
        <f>Germany!L$26</f>
        <v>0</v>
      </c>
      <c r="M24" s="1">
        <f>Germany!M$26</f>
        <v>0</v>
      </c>
      <c r="N24" s="1">
        <f>Germany!N$26</f>
        <v>0</v>
      </c>
      <c r="O24" s="1">
        <f>Germany!O$26</f>
        <v>0</v>
      </c>
      <c r="P24" s="1">
        <f>Germany!P$26</f>
        <v>158</v>
      </c>
      <c r="Q24" s="1">
        <f>Germany!Q$26</f>
        <v>0</v>
      </c>
      <c r="R24" s="1">
        <f>Germany!R$26</f>
        <v>151</v>
      </c>
      <c r="S24" s="1">
        <f>Germany!S$26</f>
        <v>0</v>
      </c>
      <c r="T24" s="1">
        <f>Germany!T$26</f>
        <v>0</v>
      </c>
      <c r="U24" s="1">
        <f>Germany!U$26</f>
        <v>0</v>
      </c>
      <c r="V24" s="1">
        <f>Germany!V$26</f>
        <v>50</v>
      </c>
      <c r="W24" s="28">
        <f>Germany!W$26</f>
        <v>0</v>
      </c>
      <c r="Y24" s="3"/>
    </row>
    <row r="25" spans="1:25" x14ac:dyDescent="0.25">
      <c r="A25" s="39" t="s">
        <v>16</v>
      </c>
      <c r="B25" s="26" t="str">
        <f t="shared" si="4"/>
        <v/>
      </c>
      <c r="C25" s="49">
        <v>0</v>
      </c>
      <c r="D25" s="1">
        <v>0</v>
      </c>
      <c r="E25" s="105">
        <f>Italy!E$29</f>
        <v>0</v>
      </c>
      <c r="F25" s="1">
        <f>Italy!F$29</f>
        <v>0</v>
      </c>
      <c r="G25" s="1">
        <f>Italy!G$29</f>
        <v>0</v>
      </c>
      <c r="H25" s="1">
        <f>Italy!H$29</f>
        <v>0</v>
      </c>
      <c r="I25" s="1">
        <f>Italy!I$29</f>
        <v>2185.7107465433501</v>
      </c>
      <c r="J25" s="1">
        <f>Italy!J$29</f>
        <v>0</v>
      </c>
      <c r="K25" s="1">
        <f>Italy!K$29</f>
        <v>0</v>
      </c>
      <c r="L25" s="1">
        <f>Italy!L$29</f>
        <v>4564.0434130441499</v>
      </c>
      <c r="M25" s="1">
        <f>Italy!M$29</f>
        <v>0</v>
      </c>
      <c r="N25" s="1">
        <f>Italy!N$29</f>
        <v>4691.1240973539916</v>
      </c>
      <c r="O25" s="1">
        <f>Italy!O$29</f>
        <v>402</v>
      </c>
      <c r="P25" s="1">
        <f>Italy!P$29</f>
        <v>6620</v>
      </c>
      <c r="Q25" s="1">
        <f>Italy!Q$29</f>
        <v>0</v>
      </c>
      <c r="R25" s="1">
        <f>Italy!R$29</f>
        <v>0</v>
      </c>
      <c r="S25" s="1">
        <f>Italy!S$29</f>
        <v>0</v>
      </c>
      <c r="T25" s="1">
        <f>Italy!T$29</f>
        <v>0</v>
      </c>
      <c r="U25" s="1">
        <f>Italy!U$29</f>
        <v>0</v>
      </c>
      <c r="V25" s="1">
        <f>Italy!V$29</f>
        <v>0</v>
      </c>
      <c r="W25" s="28">
        <f>Italy!W$29</f>
        <v>0</v>
      </c>
      <c r="Y25" s="3"/>
    </row>
    <row r="26" spans="1:25" x14ac:dyDescent="0.25">
      <c r="A26" s="39" t="s">
        <v>32</v>
      </c>
      <c r="B26" s="26" t="str">
        <f t="shared" si="4"/>
        <v/>
      </c>
      <c r="C26" s="49">
        <v>0</v>
      </c>
      <c r="D26" s="1">
        <v>-400</v>
      </c>
      <c r="E26" s="105">
        <f>Poland!E$25</f>
        <v>0</v>
      </c>
      <c r="F26" s="1">
        <f>Poland!F$25</f>
        <v>0</v>
      </c>
      <c r="G26" s="1">
        <f>Poland!G$25</f>
        <v>0</v>
      </c>
      <c r="H26" s="1">
        <f>Poland!H$25</f>
        <v>0</v>
      </c>
      <c r="I26" s="1">
        <f>Poland!I$25</f>
        <v>0</v>
      </c>
      <c r="J26" s="1">
        <f>Poland!J$25</f>
        <v>0</v>
      </c>
      <c r="K26" s="1">
        <f>Poland!K$25</f>
        <v>0</v>
      </c>
      <c r="L26" s="1">
        <f>Poland!L$25</f>
        <v>0</v>
      </c>
      <c r="M26" s="37">
        <f>Poland!M$25</f>
        <v>0</v>
      </c>
      <c r="N26" s="37">
        <f>Poland!N$25</f>
        <v>0</v>
      </c>
      <c r="O26" s="37">
        <f>Poland!O$25</f>
        <v>0</v>
      </c>
      <c r="P26" s="37">
        <f>Poland!P$25</f>
        <v>0</v>
      </c>
      <c r="Q26" s="37">
        <f>Poland!Q$25</f>
        <v>0</v>
      </c>
      <c r="R26" s="37">
        <f>Poland!R$25</f>
        <v>0</v>
      </c>
      <c r="S26" s="37">
        <f>Poland!S$25</f>
        <v>0</v>
      </c>
      <c r="T26" s="37">
        <f>Poland!T$25</f>
        <v>0</v>
      </c>
      <c r="U26" s="37">
        <f>Poland!U$25</f>
        <v>0</v>
      </c>
      <c r="V26" s="37">
        <f>Poland!V$25</f>
        <v>0</v>
      </c>
      <c r="W26" s="65">
        <f>Poland!W$25</f>
        <v>0</v>
      </c>
      <c r="Y26" s="3"/>
    </row>
    <row r="27" spans="1:25" ht="14.4" x14ac:dyDescent="0.3">
      <c r="A27" s="39" t="s">
        <v>150</v>
      </c>
      <c r="B27" s="122" t="str">
        <f t="shared" si="4"/>
        <v/>
      </c>
      <c r="C27" s="112">
        <v>-10440</v>
      </c>
      <c r="D27" s="85">
        <v>-6605</v>
      </c>
      <c r="E27" s="115">
        <f>Portugal!E$14</f>
        <v>0</v>
      </c>
      <c r="F27" s="1">
        <f>Portugal!F$14</f>
        <v>0</v>
      </c>
      <c r="G27" s="1">
        <f>Portugal!G$14</f>
        <v>0</v>
      </c>
      <c r="H27" s="1">
        <f>Portugal!H$14</f>
        <v>15329</v>
      </c>
      <c r="I27" s="1">
        <f>Portugal!I$14</f>
        <v>1097</v>
      </c>
      <c r="J27" s="1">
        <f>Portugal!J$14</f>
        <v>3173</v>
      </c>
      <c r="K27" s="1">
        <f>Portugal!K$14</f>
        <v>4925</v>
      </c>
      <c r="L27" s="1"/>
      <c r="M27" s="37"/>
      <c r="N27" s="37"/>
      <c r="O27" s="37"/>
      <c r="P27" s="37"/>
      <c r="Q27" s="37"/>
      <c r="R27" s="37"/>
      <c r="S27" s="95"/>
      <c r="T27" s="95"/>
      <c r="U27" s="95"/>
      <c r="V27" s="95"/>
      <c r="W27" s="75"/>
      <c r="Y27" s="3"/>
    </row>
    <row r="28" spans="1:25" ht="14.4" hidden="1" x14ac:dyDescent="0.3">
      <c r="A28" s="39" t="s">
        <v>166</v>
      </c>
      <c r="B28" s="26" t="str">
        <f t="shared" si="4"/>
        <v/>
      </c>
      <c r="C28" s="49">
        <v>0</v>
      </c>
      <c r="D28" s="1">
        <v>0</v>
      </c>
      <c r="E28" s="105"/>
      <c r="F28" s="1"/>
      <c r="G28" s="1"/>
      <c r="H28" s="1"/>
      <c r="I28" s="1"/>
      <c r="J28" s="1"/>
      <c r="K28" s="1"/>
      <c r="L28" s="1"/>
      <c r="M28" s="37"/>
      <c r="N28" s="37"/>
      <c r="O28" s="37"/>
      <c r="P28" s="37"/>
      <c r="Q28" s="37"/>
      <c r="R28" s="37"/>
      <c r="S28" s="95"/>
      <c r="T28" s="95"/>
      <c r="U28" s="95"/>
      <c r="V28" s="95"/>
      <c r="W28" s="75"/>
      <c r="Y28" s="3"/>
    </row>
    <row r="29" spans="1:25" x14ac:dyDescent="0.25">
      <c r="A29" s="20" t="s">
        <v>38</v>
      </c>
      <c r="B29" s="26">
        <f t="shared" si="4"/>
        <v>-0.64301146750872529</v>
      </c>
      <c r="C29" s="49">
        <v>-3241</v>
      </c>
      <c r="D29" s="1">
        <v>-6506</v>
      </c>
      <c r="E29" s="105">
        <f>Spain!E$17</f>
        <v>4296</v>
      </c>
      <c r="F29" s="1">
        <f>Spain!F$17</f>
        <v>12034</v>
      </c>
      <c r="G29" s="1">
        <f>Spain!G$17</f>
        <v>5028.9449040887512</v>
      </c>
      <c r="H29" s="1">
        <f>Spain!H$17</f>
        <v>12535.134794012518</v>
      </c>
      <c r="I29" s="1">
        <f>Spain!I$17</f>
        <v>7811.3995141347914</v>
      </c>
      <c r="J29" s="1">
        <f>Spain!J$17</f>
        <v>8483</v>
      </c>
      <c r="K29" s="1">
        <f>Spain!K$17</f>
        <v>8850</v>
      </c>
      <c r="L29" s="1">
        <f>Spain!L$17</f>
        <v>8333</v>
      </c>
      <c r="M29" s="1">
        <f>Spain!M$17</f>
        <v>4805</v>
      </c>
      <c r="N29" s="1">
        <f>Spain!N$17</f>
        <v>8547</v>
      </c>
      <c r="O29" s="1">
        <f>Spain!O$17</f>
        <v>6690.4399298496401</v>
      </c>
      <c r="P29" s="1">
        <f>Spain!P$17</f>
        <v>8915.3041628226474</v>
      </c>
      <c r="Q29" s="1">
        <f>Spain!Q$17</f>
        <v>692.36157233522192</v>
      </c>
      <c r="R29" s="1">
        <f>Spain!R$17</f>
        <v>19641</v>
      </c>
      <c r="S29" s="1">
        <f>Spain!S$17</f>
        <v>9970.5451598035143</v>
      </c>
      <c r="T29" s="1">
        <f>Spain!T$17</f>
        <v>10830</v>
      </c>
      <c r="U29" s="1">
        <f>Spain!U$17</f>
        <v>7096</v>
      </c>
      <c r="V29" s="1">
        <f>Spain!V$17</f>
        <v>5720</v>
      </c>
      <c r="W29" s="28">
        <f>Spain!W$17</f>
        <v>10424</v>
      </c>
      <c r="Y29" s="3"/>
    </row>
    <row r="30" spans="1:25" x14ac:dyDescent="0.25">
      <c r="A30" s="20" t="s">
        <v>61</v>
      </c>
      <c r="B30" s="26" t="str">
        <f t="shared" si="4"/>
        <v/>
      </c>
      <c r="C30" s="49">
        <v>-511</v>
      </c>
      <c r="D30" s="1">
        <v>-254</v>
      </c>
      <c r="E30" s="105">
        <f>Switzerland!E$28</f>
        <v>180</v>
      </c>
      <c r="F30" s="1">
        <f>Switzerland!F$28</f>
        <v>0</v>
      </c>
      <c r="G30" s="1">
        <f>Switzerland!G$28</f>
        <v>0</v>
      </c>
      <c r="H30" s="1">
        <f>Switzerland!H$28</f>
        <v>3</v>
      </c>
      <c r="I30" s="1">
        <f>Switzerland!I$28</f>
        <v>53</v>
      </c>
      <c r="J30" s="1">
        <f>Switzerland!J$28</f>
        <v>5</v>
      </c>
      <c r="K30" s="1">
        <f>Switzerland!K$28</f>
        <v>7</v>
      </c>
      <c r="L30" s="1">
        <f>Switzerland!L$28</f>
        <v>0</v>
      </c>
      <c r="M30" s="1">
        <f>Switzerland!M$28</f>
        <v>0</v>
      </c>
      <c r="N30" s="1">
        <f>Switzerland!N$28</f>
        <v>10</v>
      </c>
      <c r="O30" s="1">
        <f>Switzerland!O$28</f>
        <v>25</v>
      </c>
      <c r="P30" s="1">
        <f>Switzerland!P$28</f>
        <v>0</v>
      </c>
      <c r="Q30" s="1">
        <f>Switzerland!Q$28</f>
        <v>0</v>
      </c>
      <c r="R30" s="1">
        <f>Switzerland!R$28</f>
        <v>168</v>
      </c>
      <c r="S30" s="1">
        <f>Switzerland!S$28</f>
        <v>0</v>
      </c>
      <c r="T30" s="1">
        <f>Switzerland!T$28</f>
        <v>2</v>
      </c>
      <c r="U30" s="1">
        <f>Switzerland!U$28</f>
        <v>0</v>
      </c>
      <c r="V30" s="1">
        <f>Switzerland!V$28</f>
        <v>1</v>
      </c>
      <c r="W30" s="28">
        <f>Switzerland!W$28</f>
        <v>0</v>
      </c>
      <c r="Y30" s="3"/>
    </row>
    <row r="31" spans="1:25" x14ac:dyDescent="0.25">
      <c r="A31" s="20" t="s">
        <v>1</v>
      </c>
      <c r="B31" s="26">
        <f t="shared" si="4"/>
        <v>-0.25918466301145054</v>
      </c>
      <c r="C31" s="49">
        <v>-27373</v>
      </c>
      <c r="D31" s="1">
        <v>-27806</v>
      </c>
      <c r="E31" s="105">
        <f>Netherlands!E$15</f>
        <v>39724</v>
      </c>
      <c r="F31" s="1">
        <f>Netherlands!F$15</f>
        <v>53622</v>
      </c>
      <c r="G31" s="1">
        <f>Netherlands!G$15</f>
        <v>43397</v>
      </c>
      <c r="H31" s="1">
        <f>Netherlands!H$15</f>
        <v>32383</v>
      </c>
      <c r="I31" s="1">
        <f>Netherlands!I$15</f>
        <v>37406</v>
      </c>
      <c r="J31" s="1">
        <f>Netherlands!J$15</f>
        <v>31456</v>
      </c>
      <c r="K31" s="1">
        <f>Netherlands!K$15</f>
        <v>37475.995200000005</v>
      </c>
      <c r="L31" s="1">
        <f>Netherlands!L$15</f>
        <v>33424</v>
      </c>
      <c r="M31" s="1">
        <f>Netherlands!M$15</f>
        <v>39922</v>
      </c>
      <c r="N31" s="1">
        <f>Netherlands!N$15</f>
        <v>31765</v>
      </c>
      <c r="O31" s="1">
        <f>Netherlands!O$15</f>
        <v>28378</v>
      </c>
      <c r="P31" s="1">
        <f>Netherlands!P$15</f>
        <v>16500</v>
      </c>
      <c r="Q31" s="1">
        <f>Netherlands!Q$15</f>
        <v>12000</v>
      </c>
      <c r="R31" s="1">
        <f>Netherlands!R$15</f>
        <v>21000</v>
      </c>
      <c r="S31" s="1">
        <f>Netherlands!S$15</f>
        <v>18000</v>
      </c>
      <c r="T31" s="1">
        <f>Netherlands!T$15</f>
        <v>21000</v>
      </c>
      <c r="U31" s="1">
        <f>Netherlands!U$15</f>
        <v>12000</v>
      </c>
      <c r="V31" s="1">
        <f>Netherlands!V$15</f>
        <v>23000</v>
      </c>
      <c r="W31" s="28">
        <f>Netherlands!W$15</f>
        <v>34000</v>
      </c>
    </row>
    <row r="32" spans="1:25" ht="13.8" thickBot="1" x14ac:dyDescent="0.3">
      <c r="A32" s="29" t="s">
        <v>36</v>
      </c>
      <c r="B32" s="27">
        <f t="shared" si="4"/>
        <v>28.076923076923077</v>
      </c>
      <c r="C32" s="50">
        <v>-1020</v>
      </c>
      <c r="D32" s="10">
        <v>-426</v>
      </c>
      <c r="E32" s="106">
        <f>UK!E$19</f>
        <v>378</v>
      </c>
      <c r="F32" s="10">
        <f>UK!F$19</f>
        <v>13</v>
      </c>
      <c r="G32" s="10">
        <f>UK!G$19</f>
        <v>557</v>
      </c>
      <c r="H32" s="10">
        <f>UK!H$19</f>
        <v>0</v>
      </c>
      <c r="I32" s="10">
        <f>UK!I$19</f>
        <v>15</v>
      </c>
      <c r="J32" s="10">
        <f>UK!J$19</f>
        <v>0</v>
      </c>
      <c r="K32" s="10">
        <f>UK!K$19</f>
        <v>0</v>
      </c>
      <c r="L32" s="10">
        <f>UK!L$19</f>
        <v>0</v>
      </c>
      <c r="M32" s="10">
        <f>UK!M$19</f>
        <v>0</v>
      </c>
      <c r="N32" s="10">
        <f>UK!N$19</f>
        <v>100</v>
      </c>
      <c r="O32" s="10">
        <f>UK!O$19</f>
        <v>450</v>
      </c>
      <c r="P32" s="10">
        <f>UK!P$19</f>
        <v>700</v>
      </c>
      <c r="Q32" s="10">
        <f>UK!Q$19</f>
        <v>300</v>
      </c>
      <c r="R32" s="10">
        <f>UK!R$19</f>
        <v>300</v>
      </c>
      <c r="S32" s="10">
        <f>UK!S$19</f>
        <v>500</v>
      </c>
      <c r="T32" s="10">
        <f>UK!T$19</f>
        <v>800</v>
      </c>
      <c r="U32" s="10">
        <f>UK!U$19</f>
        <v>0</v>
      </c>
      <c r="V32" s="10">
        <f>UK!V$19</f>
        <v>100</v>
      </c>
      <c r="W32" s="30">
        <f>UK!W$19</f>
        <v>0</v>
      </c>
      <c r="Y32" s="3"/>
    </row>
    <row r="33" spans="1:24" ht="13.8" thickBot="1" x14ac:dyDescent="0.3">
      <c r="A33" s="31" t="s">
        <v>23</v>
      </c>
      <c r="B33" s="32">
        <f t="shared" si="4"/>
        <v>-0.31336157717273333</v>
      </c>
      <c r="C33" s="123">
        <v>-47974.05456049132</v>
      </c>
      <c r="D33" s="33">
        <v>-48207.338227025801</v>
      </c>
      <c r="E33" s="44">
        <f>SUM(E20:E32)</f>
        <v>48939.027499999997</v>
      </c>
      <c r="F33" s="33">
        <f>SUM(F20:F32)</f>
        <v>71273.36</v>
      </c>
      <c r="G33" s="33">
        <f>SUM(G20:G32)</f>
        <v>54375.31027719246</v>
      </c>
      <c r="H33" s="33">
        <f>SUM(H20:H32)</f>
        <v>72868.134794012527</v>
      </c>
      <c r="I33" s="33">
        <f>SUM(I20:I32)</f>
        <v>62922.110260678142</v>
      </c>
      <c r="J33" s="33">
        <f t="shared" ref="J33:O33" si="5">SUM(J20:J32)</f>
        <v>44459</v>
      </c>
      <c r="K33" s="33">
        <f t="shared" si="5"/>
        <v>65526.995200000005</v>
      </c>
      <c r="L33" s="33">
        <f t="shared" si="5"/>
        <v>50595.04341304415</v>
      </c>
      <c r="M33" s="33">
        <f t="shared" si="5"/>
        <v>46883</v>
      </c>
      <c r="N33" s="33">
        <f t="shared" si="5"/>
        <v>66112.124097353983</v>
      </c>
      <c r="O33" s="33">
        <f t="shared" si="5"/>
        <v>45945.439929849643</v>
      </c>
      <c r="P33" s="33">
        <f t="shared" ref="P33:W33" si="6">SUM(P20:P32)</f>
        <v>38014.304162822649</v>
      </c>
      <c r="Q33" s="33">
        <f t="shared" si="6"/>
        <v>16002.361572335221</v>
      </c>
      <c r="R33" s="33">
        <f t="shared" si="6"/>
        <v>43015</v>
      </c>
      <c r="S33" s="33">
        <f t="shared" si="6"/>
        <v>41970.545159803514</v>
      </c>
      <c r="T33" s="33">
        <f t="shared" si="6"/>
        <v>37832</v>
      </c>
      <c r="U33" s="33">
        <f t="shared" si="6"/>
        <v>19096</v>
      </c>
      <c r="V33" s="33">
        <f t="shared" si="6"/>
        <v>72871</v>
      </c>
      <c r="W33" s="90">
        <f t="shared" si="6"/>
        <v>71624</v>
      </c>
    </row>
    <row r="34" spans="1:24" x14ac:dyDescent="0.25">
      <c r="B34" s="3" t="s">
        <v>173</v>
      </c>
      <c r="W34" s="1"/>
    </row>
    <row r="35" spans="1:24" x14ac:dyDescent="0.25">
      <c r="B35" s="51" t="s">
        <v>167</v>
      </c>
      <c r="F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4" x14ac:dyDescent="0.25">
      <c r="B36" s="51" t="s">
        <v>168</v>
      </c>
      <c r="F36" s="1"/>
      <c r="V36" s="1"/>
      <c r="W36" s="1"/>
    </row>
    <row r="37" spans="1:24" x14ac:dyDescent="0.25">
      <c r="F37" s="1"/>
      <c r="V37" s="1"/>
      <c r="W37" s="1"/>
    </row>
    <row r="38" spans="1:24" x14ac:dyDescent="0.25">
      <c r="A38" s="72"/>
      <c r="D38" s="1"/>
      <c r="E38" s="1"/>
      <c r="F38" s="1"/>
    </row>
    <row r="39" spans="1:24" ht="25.5" customHeight="1" x14ac:dyDescent="0.25">
      <c r="A39" s="12"/>
      <c r="B39" s="12"/>
      <c r="C39" s="124"/>
      <c r="D39" s="125"/>
      <c r="E39" s="125"/>
      <c r="F39" s="12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3"/>
    </row>
    <row r="40" spans="1:24" x14ac:dyDescent="0.25">
      <c r="C40" s="85"/>
      <c r="D40" s="85"/>
      <c r="E40" s="85"/>
      <c r="F40" s="1"/>
      <c r="V40" s="1"/>
      <c r="W40" s="1"/>
    </row>
    <row r="41" spans="1:24" ht="25.5" customHeight="1" x14ac:dyDescent="0.25">
      <c r="A41" s="16"/>
      <c r="B41" s="16"/>
      <c r="C41" s="12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17"/>
      <c r="X41" s="9"/>
    </row>
    <row r="42" spans="1:24" x14ac:dyDescent="0.25">
      <c r="C42" s="85"/>
      <c r="V42" s="14"/>
      <c r="W42" s="14"/>
      <c r="X42" s="1"/>
    </row>
    <row r="43" spans="1:24" x14ac:dyDescent="0.25">
      <c r="C43" s="85"/>
      <c r="V43" s="14"/>
      <c r="W43" s="14"/>
      <c r="X43" s="1"/>
    </row>
    <row r="44" spans="1:24" hidden="1" x14ac:dyDescent="0.25">
      <c r="C44" s="85"/>
      <c r="G44" s="1"/>
      <c r="V44" s="14"/>
      <c r="W44" s="14"/>
      <c r="X44" s="1"/>
    </row>
    <row r="45" spans="1:24" hidden="1" x14ac:dyDescent="0.25">
      <c r="C45" s="85"/>
      <c r="G45" s="1"/>
      <c r="V45" s="14"/>
      <c r="W45" s="14"/>
      <c r="X45" s="1"/>
    </row>
    <row r="46" spans="1:24" hidden="1" x14ac:dyDescent="0.25">
      <c r="C46" s="85"/>
      <c r="G46" s="1"/>
      <c r="V46" s="14"/>
      <c r="W46" s="14"/>
      <c r="X46" s="1"/>
    </row>
    <row r="47" spans="1:24" hidden="1" x14ac:dyDescent="0.25">
      <c r="B47" s="85"/>
      <c r="G47" s="1"/>
      <c r="V47" s="14"/>
      <c r="W47" s="14"/>
      <c r="X47" s="1"/>
    </row>
    <row r="48" spans="1:24" x14ac:dyDescent="0.25">
      <c r="C48" s="127"/>
      <c r="V48" s="14"/>
      <c r="W48" s="14"/>
      <c r="X48" s="1"/>
    </row>
    <row r="49" spans="1:24" x14ac:dyDescent="0.25">
      <c r="A49" s="18"/>
      <c r="B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4"/>
      <c r="W49" s="14"/>
      <c r="X49" s="1"/>
    </row>
    <row r="50" spans="1:2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4"/>
      <c r="W50" s="14"/>
      <c r="X50" s="1"/>
    </row>
    <row r="51" spans="1:24" x14ac:dyDescent="0.25">
      <c r="A51" s="18"/>
      <c r="B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4"/>
      <c r="W51" s="14"/>
      <c r="X51" s="1"/>
    </row>
    <row r="52" spans="1:24" x14ac:dyDescent="0.25">
      <c r="A52" s="18"/>
      <c r="B52" s="18"/>
      <c r="C52" s="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4"/>
      <c r="W52" s="14"/>
      <c r="X52" s="1"/>
    </row>
    <row r="53" spans="1:24" x14ac:dyDescent="0.25">
      <c r="A53" s="18"/>
      <c r="B53" s="18"/>
      <c r="C53" s="79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4"/>
      <c r="W53" s="14"/>
      <c r="X53" s="1"/>
    </row>
    <row r="54" spans="1:2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4"/>
      <c r="W54" s="14"/>
      <c r="X54" s="1"/>
    </row>
    <row r="55" spans="1:2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4"/>
      <c r="W55" s="14"/>
      <c r="X55" s="1"/>
    </row>
    <row r="56" spans="1:24" x14ac:dyDescent="0.25">
      <c r="V56" s="14"/>
      <c r="W56" s="14"/>
      <c r="X56" s="1"/>
    </row>
    <row r="57" spans="1:2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4"/>
      <c r="W57" s="14"/>
      <c r="X57" s="2"/>
    </row>
    <row r="58" spans="1:2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4"/>
      <c r="W58" s="14"/>
    </row>
    <row r="59" spans="1:2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4"/>
      <c r="W59" s="14"/>
      <c r="X59" s="1"/>
    </row>
    <row r="60" spans="1:2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4"/>
      <c r="W60" s="14"/>
      <c r="X60" s="1"/>
    </row>
    <row r="61" spans="1:2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4"/>
      <c r="W61" s="14"/>
      <c r="X61" s="1"/>
    </row>
    <row r="62" spans="1:2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4"/>
      <c r="W62" s="14"/>
      <c r="X62" s="1"/>
    </row>
    <row r="63" spans="1:2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4"/>
      <c r="W63" s="14"/>
      <c r="X63" s="1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4"/>
      <c r="W64" s="14"/>
      <c r="X64" s="2"/>
    </row>
    <row r="65" spans="1:23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5"/>
    </row>
    <row r="66" spans="1:23" x14ac:dyDescent="0.25">
      <c r="V66" s="1"/>
      <c r="W66" s="1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1"/>
      <c r="W69" s="11"/>
    </row>
    <row r="70" spans="1:23" x14ac:dyDescent="0.25">
      <c r="V70" s="11"/>
      <c r="W70" s="11"/>
    </row>
    <row r="71" spans="1:23" x14ac:dyDescent="0.25">
      <c r="V71" s="1"/>
      <c r="W71" s="11"/>
    </row>
    <row r="72" spans="1:23" x14ac:dyDescent="0.25">
      <c r="V72" s="1"/>
      <c r="W72" s="1"/>
    </row>
    <row r="73" spans="1:23" x14ac:dyDescent="0.25">
      <c r="V73" s="1"/>
      <c r="W73" s="1"/>
    </row>
    <row r="74" spans="1:23" x14ac:dyDescent="0.25">
      <c r="V74" s="1"/>
      <c r="W74" s="1"/>
    </row>
    <row r="75" spans="1:23" x14ac:dyDescent="0.25">
      <c r="V75" s="1"/>
      <c r="W75" s="1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</sheetData>
  <phoneticPr fontId="2" type="noConversion"/>
  <conditionalFormatting sqref="E1">
    <cfRule type="expression" dxfId="27" priority="2">
      <formula>ISBLANK(XFD1)=FALSE</formula>
    </cfRule>
  </conditionalFormatting>
  <conditionalFormatting sqref="E19">
    <cfRule type="expression" dxfId="26" priority="1">
      <formula>ISBLANK(XFD19)=FALSE</formula>
    </cfRule>
  </conditionalFormatting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C52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2" bestFit="1" customWidth="1"/>
    <col min="3" max="3" width="11.33203125" customWidth="1"/>
    <col min="4" max="4" width="11.33203125" bestFit="1" customWidth="1"/>
    <col min="5" max="5" width="11.33203125" customWidth="1"/>
    <col min="6" max="12" width="11.44140625" customWidth="1"/>
    <col min="13" max="21" width="10.6640625" customWidth="1"/>
  </cols>
  <sheetData>
    <row r="1" spans="1:22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5">
        <v>39965</v>
      </c>
    </row>
    <row r="2" spans="1:22" x14ac:dyDescent="0.25">
      <c r="A2" s="39" t="s">
        <v>20</v>
      </c>
      <c r="B2" s="46" t="str">
        <f t="shared" ref="B2:B32" si="0">IFERROR(((E2-F2)/F2),"")</f>
        <v/>
      </c>
      <c r="C2" s="73">
        <v>0</v>
      </c>
      <c r="D2" s="37">
        <v>0</v>
      </c>
      <c r="E2" s="42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0</v>
      </c>
      <c r="Q2" s="37">
        <f>Italy!Q$2</f>
        <v>0</v>
      </c>
      <c r="R2" s="37">
        <f>Italy!R$2</f>
        <v>0</v>
      </c>
      <c r="S2" s="37">
        <f>Italy!S$2</f>
        <v>0</v>
      </c>
      <c r="T2" s="37">
        <f>Italy!T$2</f>
        <v>0</v>
      </c>
      <c r="U2" s="65">
        <f>Italy!U$2</f>
        <v>0</v>
      </c>
      <c r="V2" s="37"/>
    </row>
    <row r="3" spans="1:22" x14ac:dyDescent="0.25">
      <c r="A3" s="39" t="s">
        <v>4</v>
      </c>
      <c r="B3" s="46">
        <f t="shared" si="0"/>
        <v>-0.28446955752212388</v>
      </c>
      <c r="C3" s="73">
        <v>-92.960800000000006</v>
      </c>
      <c r="D3" s="37">
        <v>-436.94920143095237</v>
      </c>
      <c r="E3" s="42">
        <f>Austria!E$3+Belgium!E$2+Denmark!E$2+France!E$4+Germany!E$2+Switzerland!E$2+Netherlands!E$2+Poland!E$2</f>
        <v>404.2747</v>
      </c>
      <c r="F3" s="37">
        <f>Austria!F$3+Belgium!F$2+Denmark!F$2+France!F$4+Germany!F$2+Switzerland!F$2+Netherlands!F$2+Poland!F$2</f>
        <v>565</v>
      </c>
      <c r="G3" s="37">
        <f>Austria!G$3+Belgium!G$2+Denmark!G$2+France!G$4+Germany!G$2+Switzerland!G$2+Netherlands!G$2+Poland!G$2</f>
        <v>236</v>
      </c>
      <c r="H3" s="37">
        <f>Austria!H$3+Belgium!H$2+Denmark!H$2+France!H$4+Germany!H$2+Switzerland!H$2+Netherlands!H$2+Poland!H$2</f>
        <v>2274</v>
      </c>
      <c r="I3" s="37">
        <f>Austria!I$3+Belgium!I$2+Denmark!I$2+France!I$4+Germany!I$2+Switzerland!I$2+Netherlands!I$2+Poland!I$2</f>
        <v>0</v>
      </c>
      <c r="J3" s="37">
        <f>Austria!J$3+Belgium!J$2+Denmark!J$2+France!J$4+Germany!J$2+Switzerland!J$2+Netherlands!J$2+Poland!J$2</f>
        <v>17</v>
      </c>
      <c r="K3" s="37">
        <f>Austria!K$3+Belgium!K$2+Denmark!K$2+France!K$4+Germany!K$2+Switzerland!K$2+Netherlands!K$2+Poland!K$2</f>
        <v>433</v>
      </c>
      <c r="L3" s="37">
        <f>Austria!L$3+Belgium!L$2+Denmark!L$2+France!L$4+Germany!L$2+Switzerland!L$2+Netherlands!L$2+Poland!L$2</f>
        <v>83</v>
      </c>
      <c r="M3" s="37">
        <f>Austria!M$3+Belgium!M$2+Denmark!M$2+France!M$4+Germany!M$2+Switzerland!M$2+Netherlands!M$2+Poland!M$2</f>
        <v>376</v>
      </c>
      <c r="N3" s="37">
        <f>Austria!N$3+Belgium!N$2+Denmark!N$2+France!N$4+Germany!N$2+Switzerland!N$2+Netherlands!N$2+Poland!N$2</f>
        <v>89</v>
      </c>
      <c r="O3" s="37">
        <f>Austria!O$3+Belgium!O$2+Denmark!O$2+France!O$4+Germany!O$2+Switzerland!O$2+Netherlands!O$2+Poland!O$2</f>
        <v>120</v>
      </c>
      <c r="P3" s="37">
        <f>Austria!P$3+Belgium!P$2+Denmark!P$2+France!P$4+Germany!P$2+Switzerland!P$2+Netherlands!P$2+Poland!P$2</f>
        <v>352</v>
      </c>
      <c r="Q3" s="37">
        <f>Austria!Q$3+Belgium!Q$2+Denmark!Q$2+France!Q$4+Germany!Q$2+Switzerland!Q$2+Netherlands!Q$2+Poland!Q$2</f>
        <v>0</v>
      </c>
      <c r="R3" s="37">
        <f>Austria!R$3+Belgium!R$2+Denmark!R$2+France!R$4+Germany!R$2+Switzerland!R$2+Netherlands!R$2+Poland!R$2</f>
        <v>142</v>
      </c>
      <c r="S3" s="37">
        <f>Austria!S$3+Belgium!S$2+Denmark!S$2+France!S$4+Germany!S$2+Switzerland!S$2+Netherlands!S$2+Poland!S$2</f>
        <v>0</v>
      </c>
      <c r="T3" s="37">
        <f>Austria!T$3+Belgium!T$2+Denmark!T$2+Germany!T$2+Switzerland!T$2+Netherlands!T$2+Poland!T$2</f>
        <v>2</v>
      </c>
      <c r="U3" s="65">
        <f>Austria!U$3+Belgium!U$2+Denmark!U$2+Germany!U$2+Switzerland!U$2+Netherlands!U$2+Poland!U$2</f>
        <v>281</v>
      </c>
      <c r="V3" s="3"/>
    </row>
    <row r="4" spans="1:22" x14ac:dyDescent="0.25">
      <c r="A4" s="39" t="s">
        <v>11</v>
      </c>
      <c r="B4" s="46">
        <f t="shared" si="0"/>
        <v>0.15555554283236245</v>
      </c>
      <c r="C4" s="73">
        <v>-15247.102444147502</v>
      </c>
      <c r="D4" s="37">
        <v>-14567.09441747494</v>
      </c>
      <c r="E4" s="42">
        <f>Austria!E$4+France!E$5+Germany!E$3+Italy!E$3+Switzerland!E$3+UK!E$2+'Czech Republic'!E$2</f>
        <v>15160.010080498865</v>
      </c>
      <c r="F4" s="37">
        <f>Austria!F$4+France!F$5+Germany!F$3+Italy!F$3+Switzerland!F$3+UK!F$2+'Czech Republic'!F$2</f>
        <v>13119.239637188208</v>
      </c>
      <c r="G4" s="37">
        <f>Austria!G$4+France!G$5+Germany!G$3+Italy!G$3+Switzerland!G$3+UK!G$2+'Czech Republic'!G$2</f>
        <v>14471.911502782932</v>
      </c>
      <c r="H4" s="37">
        <f>Austria!H$4+France!H$5+Germany!H$3+Italy!H$3+Switzerland!H$3+UK!H$2+'Czech Republic'!H$2</f>
        <v>22948.266285714286</v>
      </c>
      <c r="I4" s="37">
        <f>Austria!I$4+France!I$5+Germany!I$3+Italy!I$3+Switzerland!I$3+UK!I$2+'Czech Republic'!I$2</f>
        <v>15034.100000000002</v>
      </c>
      <c r="J4" s="37">
        <f>Austria!J$4+France!J$5+Germany!J$3+Italy!J$3+Switzerland!J$3+UK!J$2+'Czech Republic'!J$2</f>
        <v>14357.51</v>
      </c>
      <c r="K4" s="37">
        <f>Austria!K$4+France!K$5+Germany!K$3+Italy!K$3+Switzerland!K$3+UK!K$2+'Czech Republic'!K$2</f>
        <v>30035</v>
      </c>
      <c r="L4" s="37">
        <f>Austria!L$4+France!L$5+Germany!L$3+Italy!L$3+Switzerland!L$3+UK!L$2+'Czech Republic'!L$2</f>
        <v>1980.1</v>
      </c>
      <c r="M4" s="37">
        <f>Austria!M$4+France!M$5+Germany!M$3+Italy!M$3+Switzerland!M$3+UK!M$2+'Czech Republic'!M$2</f>
        <v>10813</v>
      </c>
      <c r="N4" s="37">
        <f>Austria!N$4+France!N$5+Germany!N$3+Italy!N$3+Switzerland!N$3+UK!N$2</f>
        <v>9385</v>
      </c>
      <c r="O4" s="37">
        <f>Austria!O$4+France!O$5+Germany!O$3+Italy!O$3+Switzerland!O$3+UK!O$2</f>
        <v>11601</v>
      </c>
      <c r="P4" s="37">
        <f>Austria!P$4+France!P$5+Germany!P$3+Italy!P$3+Switzerland!P$3+UK!P$2</f>
        <v>18457</v>
      </c>
      <c r="Q4" s="37">
        <f>Austria!Q$4+France!Q$5+Germany!Q$3+Italy!Q$3+Switzerland!Q$3+UK!Q$2</f>
        <v>2183</v>
      </c>
      <c r="R4" s="37">
        <f>Austria!R$4+France!R$5+Germany!R$3+Italy!R$3+Switzerland!R$3+UK!R$2</f>
        <v>8876.3017033393735</v>
      </c>
      <c r="S4" s="37">
        <f>Austria!S$4+France!S$5+Germany!S$3+Italy!S$3+Switzerland!S$3+UK!S$2</f>
        <v>7520.3602969785152</v>
      </c>
      <c r="T4" s="37">
        <f>Austria!T$4+Germany!T$3+Italy!T$3+Switzerland!T$3+UK!T$2</f>
        <v>11835.1</v>
      </c>
      <c r="U4" s="65">
        <f>Austria!U$4+Germany!U$3+Italy!U$3+Switzerland!U$3+UK!U$2</f>
        <v>2979</v>
      </c>
    </row>
    <row r="5" spans="1:22" x14ac:dyDescent="0.25">
      <c r="A5" s="39" t="s">
        <v>37</v>
      </c>
      <c r="B5" s="46">
        <f t="shared" si="0"/>
        <v>4.3464837049742711</v>
      </c>
      <c r="C5" s="73">
        <v>-714</v>
      </c>
      <c r="D5" s="37">
        <v>-361</v>
      </c>
      <c r="E5" s="42">
        <f>UK!E$3</f>
        <v>3117</v>
      </c>
      <c r="F5" s="37">
        <f>UK!F$3</f>
        <v>583</v>
      </c>
      <c r="G5" s="37">
        <f>UK!G$3</f>
        <v>3439</v>
      </c>
      <c r="H5" s="37">
        <f>UK!H$3</f>
        <v>795</v>
      </c>
      <c r="I5" s="37">
        <f>UK!I$3</f>
        <v>2239</v>
      </c>
      <c r="J5" s="37">
        <f>UK!J$3</f>
        <v>387</v>
      </c>
      <c r="K5" s="37">
        <f>UK!K$3</f>
        <v>6000</v>
      </c>
      <c r="L5" s="37">
        <f>UK!L$3</f>
        <v>6000</v>
      </c>
      <c r="M5" s="37">
        <f>UK!M$3</f>
        <v>0</v>
      </c>
      <c r="N5" s="37">
        <f>UK!N$3</f>
        <v>4000</v>
      </c>
      <c r="O5" s="37">
        <f>UK!O$3</f>
        <v>12000</v>
      </c>
      <c r="P5" s="37">
        <f>UK!P$3</f>
        <v>14300</v>
      </c>
      <c r="Q5" s="37">
        <f>UK!Q$3</f>
        <v>5000</v>
      </c>
      <c r="R5" s="37">
        <f>UK!R$3</f>
        <v>5000</v>
      </c>
      <c r="S5" s="37">
        <f>UK!S$3</f>
        <v>9000</v>
      </c>
      <c r="T5" s="37">
        <f>UK!T$3</f>
        <v>12000</v>
      </c>
      <c r="U5" s="65">
        <f>UK!U$3</f>
        <v>15000</v>
      </c>
    </row>
    <row r="6" spans="1:22" x14ac:dyDescent="0.25">
      <c r="A6" s="39" t="s">
        <v>29</v>
      </c>
      <c r="B6" s="46" t="str">
        <f t="shared" si="0"/>
        <v/>
      </c>
      <c r="C6" s="73">
        <v>-762</v>
      </c>
      <c r="D6" s="37">
        <v>-30</v>
      </c>
      <c r="E6" s="42">
        <f>France!E6+UK!E4</f>
        <v>1494</v>
      </c>
      <c r="F6" s="37">
        <f>France!F6+UK!F4</f>
        <v>0</v>
      </c>
      <c r="G6" s="37">
        <f>France!G6+UK!G4</f>
        <v>1297</v>
      </c>
      <c r="H6" s="37">
        <f>France!H6+UK!H4</f>
        <v>0</v>
      </c>
      <c r="I6" s="37">
        <f>France!I6+UK!I4</f>
        <v>0</v>
      </c>
      <c r="J6" s="37">
        <f>France!J6+UK!J4</f>
        <v>0</v>
      </c>
      <c r="K6" s="37">
        <f>France!K6+UK!K4</f>
        <v>0</v>
      </c>
      <c r="L6" s="37">
        <f>France!L6+UK!L4</f>
        <v>0</v>
      </c>
      <c r="M6" s="37">
        <f>France!M6+UK!M4</f>
        <v>0</v>
      </c>
      <c r="N6" s="37">
        <f>France!N6+UK!N4</f>
        <v>0</v>
      </c>
      <c r="O6" s="37">
        <f>France!O6+UK!O4</f>
        <v>0</v>
      </c>
      <c r="P6" s="37">
        <f>France!P6+UK!P4</f>
        <v>0</v>
      </c>
      <c r="Q6" s="37">
        <f>France!Q6+UK!Q4</f>
        <v>29</v>
      </c>
      <c r="R6" s="37">
        <f>France!R6+UK!R4</f>
        <v>99</v>
      </c>
      <c r="S6" s="37">
        <f>France!S6+UK!S4</f>
        <v>189</v>
      </c>
      <c r="T6" s="37">
        <f>UK!T4</f>
        <v>0</v>
      </c>
      <c r="U6" s="65">
        <f>UK!U4</f>
        <v>0</v>
      </c>
    </row>
    <row r="7" spans="1:22" x14ac:dyDescent="0.25">
      <c r="A7" s="39" t="s">
        <v>33</v>
      </c>
      <c r="B7" s="46" t="str">
        <f t="shared" si="0"/>
        <v/>
      </c>
      <c r="C7" s="73">
        <v>0</v>
      </c>
      <c r="D7" s="37">
        <v>0</v>
      </c>
      <c r="E7" s="42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0</v>
      </c>
      <c r="S7" s="37">
        <f>Poland!S$3</f>
        <v>0</v>
      </c>
      <c r="T7" s="37">
        <f>Poland!T$3</f>
        <v>0</v>
      </c>
      <c r="U7" s="65">
        <f>Poland!U$3</f>
        <v>0</v>
      </c>
    </row>
    <row r="8" spans="1:22" x14ac:dyDescent="0.25">
      <c r="A8" s="39" t="s">
        <v>5</v>
      </c>
      <c r="B8" s="46" t="str">
        <f t="shared" si="0"/>
        <v/>
      </c>
      <c r="C8" s="73">
        <v>0</v>
      </c>
      <c r="D8" s="37">
        <v>0</v>
      </c>
      <c r="E8" s="42">
        <f>Belgium!E$3+Denmark!E$4+Germany!E$4+Switzerland!E$4+UK!E$5</f>
        <v>0</v>
      </c>
      <c r="F8" s="37">
        <f>Belgium!F$3+Denmark!F$4+Germany!F$4+Switzerland!F$4+UK!F$5</f>
        <v>0</v>
      </c>
      <c r="G8" s="37">
        <f>Belgium!G$3+Denmark!G$4+Germany!G$4+Switzerland!G$4+UK!G$5</f>
        <v>0</v>
      </c>
      <c r="H8" s="37">
        <f>Belgium!H$3+Denmark!H$4+Germany!H$4+Switzerland!H$4+UK!H$5</f>
        <v>0</v>
      </c>
      <c r="I8" s="37">
        <f>Belgium!I$3+Denmark!I$4+Germany!I$4+Switzerland!I$4+UK!I$5</f>
        <v>0</v>
      </c>
      <c r="J8" s="37">
        <f>Belgium!J$3+Denmark!J$4+Germany!J$4+Switzerland!J$4+UK!J$5</f>
        <v>0</v>
      </c>
      <c r="K8" s="37">
        <f>Belgium!K$3+Denmark!K$4+Germany!K$4+Switzerland!K$4+UK!K$5</f>
        <v>0</v>
      </c>
      <c r="L8" s="37">
        <f>Belgium!L$3+Denmark!L$4+Germany!L$4+Switzerland!L$4+UK!L$5</f>
        <v>0</v>
      </c>
      <c r="M8" s="37">
        <f>Belgium!M$3+Denmark!M$4+Germany!M$4+Switzerland!M$4+UK!M$5</f>
        <v>0</v>
      </c>
      <c r="N8" s="37">
        <f>Belgium!N$3+Denmark!N$4+Germany!N$4+Switzerland!N$4+UK!N$5</f>
        <v>0</v>
      </c>
      <c r="O8" s="37">
        <f>Belgium!O$3+Denmark!O$4+Germany!O$4+Switzerland!O$4+UK!O$5</f>
        <v>0</v>
      </c>
      <c r="P8" s="37">
        <f>Belgium!P$3+Denmark!P$4+Germany!P$4+Switzerland!P$4+UK!P$5</f>
        <v>0</v>
      </c>
      <c r="Q8" s="37">
        <f>Belgium!Q$3+Denmark!Q$4+Germany!Q$4+Switzerland!Q$4+UK!Q$5</f>
        <v>0</v>
      </c>
      <c r="R8" s="37">
        <f>Belgium!R$3+Denmark!R$4+Germany!R$4+Switzerland!R$4+UK!R$5</f>
        <v>0</v>
      </c>
      <c r="S8" s="37">
        <f>Belgium!S$3+Denmark!S$4+Germany!S$4+Switzerland!S$4+UK!S$5</f>
        <v>0</v>
      </c>
      <c r="T8" s="37">
        <f>Belgium!T$3+Denmark!T$4+Germany!T$4+Switzerland!T$4+UK!T$5</f>
        <v>0</v>
      </c>
      <c r="U8" s="65">
        <f>Belgium!U$3+Denmark!U$4+Germany!U$4+Switzerland!U$4+UK!U$5</f>
        <v>1</v>
      </c>
    </row>
    <row r="9" spans="1:22" x14ac:dyDescent="0.25">
      <c r="A9" s="39" t="s">
        <v>62</v>
      </c>
      <c r="B9" s="46">
        <f t="shared" si="0"/>
        <v>0.26651051951759008</v>
      </c>
      <c r="C9" s="73">
        <v>-42479.005599999989</v>
      </c>
      <c r="D9" s="37">
        <v>-41601.4</v>
      </c>
      <c r="E9" s="42">
        <f>France!E$8+Italy!E$4</f>
        <v>26009.5641</v>
      </c>
      <c r="F9" s="37">
        <f>France!F$8+Italy!F$4</f>
        <v>20536.398000000001</v>
      </c>
      <c r="G9" s="37">
        <f>France!G$8+Italy!G$4</f>
        <v>24162.2</v>
      </c>
      <c r="H9" s="37">
        <f>France!H$8+Italy!H$4</f>
        <v>7419.7</v>
      </c>
      <c r="I9" s="37">
        <f>France!I$8+Italy!I$4</f>
        <v>7177.3</v>
      </c>
      <c r="J9" s="37">
        <f>France!J$8+Italy!J$4</f>
        <v>12149</v>
      </c>
      <c r="K9" s="37">
        <f>France!K$8+Italy!K$4</f>
        <v>4628</v>
      </c>
      <c r="L9" s="37">
        <f>France!L$8+Italy!L$4</f>
        <v>1136</v>
      </c>
      <c r="M9" s="37">
        <f>France!M$8+Italy!M$4</f>
        <v>6467</v>
      </c>
      <c r="N9" s="37">
        <f>France!N$8+Italy!N$4</f>
        <v>4612</v>
      </c>
      <c r="O9" s="37">
        <f>France!O$8+Italy!O$4</f>
        <v>8464</v>
      </c>
      <c r="P9" s="37">
        <f>France!P$8+Italy!P$4</f>
        <v>6363</v>
      </c>
      <c r="Q9" s="37">
        <f>France!Q$8+Italy!Q$4</f>
        <v>93</v>
      </c>
      <c r="R9" s="37">
        <f>France!R$8+Italy!R$4</f>
        <v>825.47012166709806</v>
      </c>
      <c r="S9" s="37">
        <f>France!S$8+Italy!S$4</f>
        <v>2941.0439391759005</v>
      </c>
      <c r="T9" s="37">
        <f>Italy!T$4</f>
        <v>0</v>
      </c>
      <c r="U9" s="65">
        <f>Italy!U$4</f>
        <v>0</v>
      </c>
    </row>
    <row r="10" spans="1:22" x14ac:dyDescent="0.25">
      <c r="A10" s="39" t="s">
        <v>2</v>
      </c>
      <c r="B10" s="46">
        <f t="shared" si="0"/>
        <v>3.2759634434715919</v>
      </c>
      <c r="C10" s="73">
        <v>-12521.0386</v>
      </c>
      <c r="D10" s="37">
        <v>-14176.235142118865</v>
      </c>
      <c r="E10" s="42">
        <f>Austria!E$5+Belgium!E$4+Denmark!E$5+France!E$9+Germany!E$5+Italy!E$5+Switzerland!E$5+Netherlands!E$3+Poland!E$4</f>
        <v>7434</v>
      </c>
      <c r="F10" s="37">
        <f>Austria!F$5+Belgium!F$4+Denmark!F$5+France!F$9+Germany!F$5+Italy!F$5+Switzerland!F$5+Netherlands!F$3+Poland!F$4</f>
        <v>1738.5555555555557</v>
      </c>
      <c r="G10" s="37">
        <f>Austria!G$5+Belgium!G$4+Denmark!G$5+France!G$9+Germany!G$5+Italy!G$5+Switzerland!G$5+Netherlands!G$3+Poland!G$4</f>
        <v>14392.227272727272</v>
      </c>
      <c r="H10" s="37">
        <f>Austria!H$5+Belgium!H$4+Denmark!H$5+France!H$9+Germany!H$5+Italy!H$5+Switzerland!H$5+Netherlands!H$3+Poland!H$4</f>
        <v>15497</v>
      </c>
      <c r="I10" s="37">
        <f>Austria!I$5+Belgium!I$4+Denmark!I$5+France!I$9+Germany!I$5+Italy!I$5+Switzerland!I$5+Netherlands!I$3+Poland!I$4</f>
        <v>4170</v>
      </c>
      <c r="J10" s="37">
        <f>Austria!J$5+Belgium!J$4+Denmark!J$5+France!J$9+Germany!J$5+Italy!J$5+Switzerland!J$5+Netherlands!J$3+Poland!J$4</f>
        <v>9976</v>
      </c>
      <c r="K10" s="37">
        <f>Austria!K$5+Belgium!K$4+Denmark!K$5+France!K$9+Germany!K$5+Italy!K$5+Switzerland!K$5+Netherlands!K$3+Poland!K$4</f>
        <v>5888.2031999999999</v>
      </c>
      <c r="L10" s="37">
        <f>Austria!L$5+Belgium!L$4+Denmark!L$5+France!L$9+Germany!L$5+Italy!L$5+Switzerland!L$5+Netherlands!L$3+Poland!L$4</f>
        <v>1824</v>
      </c>
      <c r="M10" s="37">
        <f>Austria!M$5+Belgium!M$4+Denmark!M$5+France!M$9+Germany!M$5+Italy!M$5+Switzerland!M$5+Netherlands!M$3+Poland!M$4</f>
        <v>9409</v>
      </c>
      <c r="N10" s="37">
        <f>Austria!N$5+Belgium!N$4+Denmark!N$5+France!N$9+Germany!N$5+Italy!N$5+Switzerland!N$5+Netherlands!N$3+Poland!N$4</f>
        <v>7240</v>
      </c>
      <c r="O10" s="37">
        <f>Austria!O$5+Belgium!O$4+Denmark!O$5+France!O$9+Germany!O$5+Italy!O$5+Switzerland!O$5+Netherlands!O$3+Poland!O$4</f>
        <v>16599</v>
      </c>
      <c r="P10" s="37">
        <f>Austria!P$5+Belgium!P$4+Denmark!P$5+France!P$9+Germany!P$5+Italy!P$5+Switzerland!P$5+Netherlands!P$3+Poland!P$4</f>
        <v>9377</v>
      </c>
      <c r="Q10" s="37">
        <f>Austria!Q$5+Belgium!Q$4+Denmark!Q$5+France!Q$9+Germany!Q$5+Italy!Q$5+Switzerland!Q$5+Netherlands!Q$3+Poland!Q$4</f>
        <v>3218</v>
      </c>
      <c r="R10" s="37">
        <f>Austria!R$5+Belgium!R$4+Denmark!R$5+France!R$9+Germany!R$5+Italy!R$5+Switzerland!R$5+Netherlands!R$3+Poland!R$4</f>
        <v>8910</v>
      </c>
      <c r="S10" s="37">
        <f>Austria!S$5+Belgium!S$4+Denmark!S$5+France!S$9+Germany!S$5+Italy!S$5+Switzerland!S$5+Netherlands!S$3+Poland!S$4</f>
        <v>6029</v>
      </c>
      <c r="T10" s="37">
        <f>Austria!T$5+Belgium!T$4+Denmark!T$5+Germany!T$5+Italy!T$5+Switzerland!T$5+Netherlands!T$3+Poland!T$4</f>
        <v>11661</v>
      </c>
      <c r="U10" s="65">
        <f>Austria!U$5+Belgium!U$4+Denmark!U$5+Germany!U$5+Italy!U$5+Switzerland!U$5+Netherlands!U$3+Poland!U$4</f>
        <v>6562</v>
      </c>
    </row>
    <row r="11" spans="1:22" x14ac:dyDescent="0.25">
      <c r="A11" s="39" t="s">
        <v>12</v>
      </c>
      <c r="B11" s="46">
        <f t="shared" si="0"/>
        <v>0.38319889016992192</v>
      </c>
      <c r="C11" s="73">
        <v>-18492.690421109673</v>
      </c>
      <c r="D11" s="37">
        <v>-18729.753524486616</v>
      </c>
      <c r="E11" s="42">
        <f>Austria!E$7+Denmark!E$6+France!E$10+Germany!E$6+Italy!E$6+Spain!E$2</f>
        <v>9919.5018722783461</v>
      </c>
      <c r="F11" s="37">
        <f>Austria!F$7+Denmark!F$6+France!F$10+Germany!F$6+Italy!F$6+Spain!F$2</f>
        <v>7171.4212198794958</v>
      </c>
      <c r="G11" s="37">
        <f>Austria!G$7+Denmark!G$6+France!G$10+Germany!G$6+Italy!G$6+Spain!G$2</f>
        <v>7352.5826015377534</v>
      </c>
      <c r="H11" s="37">
        <f>Austria!H$7+Denmark!H$6+France!H$10+Germany!H$6+Italy!H$6+Spain!H$2</f>
        <v>22609.712624256917</v>
      </c>
      <c r="I11" s="37">
        <f>Austria!I$7+Denmark!I$6+France!I$10+Germany!I$6+Italy!I$6+Spain!I$2</f>
        <v>17353.497613738607</v>
      </c>
      <c r="J11" s="37">
        <f>Austria!J$7+Denmark!J$6+France!J$10+Germany!J$6+Italy!J$6+Spain!J$2</f>
        <v>14891.671657232033</v>
      </c>
      <c r="K11" s="37">
        <f>Austria!K$7+Denmark!K$6+France!K$10+Germany!K$6+Italy!K$6+Spain!K$2</f>
        <v>25978</v>
      </c>
      <c r="L11" s="37">
        <f>Austria!L$7+Denmark!L$6+France!L$10+Germany!L$6+Italy!L$6+Spain!L$2</f>
        <v>5375.4</v>
      </c>
      <c r="M11" s="37">
        <f>Austria!M$7+Denmark!M$6+France!M$10+Germany!M$6+Italy!M$6+Spain!M$2</f>
        <v>16691</v>
      </c>
      <c r="N11" s="37">
        <f>Austria!N$7+Denmark!N$6+France!N$10+Germany!N$6+Italy!N$6+Spain!N$2</f>
        <v>23330</v>
      </c>
      <c r="O11" s="37">
        <f>Austria!O$7+Denmark!O$6+France!O$10+Germany!O$6+Italy!O$6+Spain!O$2</f>
        <v>13133.223627599264</v>
      </c>
      <c r="P11" s="37">
        <f>Austria!P$7+Denmark!P$6+France!P$10+Germany!P$6+Italy!P$6+Spain!P$2</f>
        <v>26358.031227739746</v>
      </c>
      <c r="Q11" s="37">
        <f>Austria!Q$7+Denmark!Q$6+France!Q$10+Germany!Q$6+Italy!Q$6+Spain!Q$2</f>
        <v>4441.0175594994844</v>
      </c>
      <c r="R11" s="37">
        <f>Austria!R$7+Denmark!R$6+France!R$10+Germany!R$6+Italy!R$6+Spain!R$2</f>
        <v>7499.3143877815173</v>
      </c>
      <c r="S11" s="37">
        <f>Austria!S$7+Denmark!S$6+France!S$10+Germany!S$6+Italy!S$6+Spain!S$2</f>
        <v>13785.052556375655</v>
      </c>
      <c r="T11" s="37">
        <f>Austria!T$7+Denmark!T$6+Germany!T$6+Italy!T$6+Spain!T$2</f>
        <v>6749.7</v>
      </c>
      <c r="U11" s="65">
        <f>Austria!U$7+Denmark!U$6+Germany!U$6+Italy!U$6+Spain!U$2</f>
        <v>4769.6000000000004</v>
      </c>
    </row>
    <row r="12" spans="1:22" x14ac:dyDescent="0.25">
      <c r="A12" s="39" t="s">
        <v>9</v>
      </c>
      <c r="B12" s="46">
        <f t="shared" si="0"/>
        <v>0.13778456738151931</v>
      </c>
      <c r="C12" s="73">
        <v>-25814.813132787996</v>
      </c>
      <c r="D12" s="37">
        <v>-34051.785473162337</v>
      </c>
      <c r="E12" s="42">
        <f>Austria!E$8+'Czech Republic'!E$3+Denmark!E$7+France!E$11+Germany!E$7+Italy!E$7+Spain!E$3+Switzerland!E$6+UK!E$6+Poland!E$5</f>
        <v>22650.004603174602</v>
      </c>
      <c r="F12" s="37">
        <f>Austria!F$8+'Czech Republic'!F$3+Denmark!F$7+France!F$11+Germany!F$7+Italy!F$7+Spain!F$3+Switzerland!F$6+UK!F$6+Poland!F$5</f>
        <v>19907.111814058957</v>
      </c>
      <c r="G12" s="37">
        <f>Austria!G$8+'Czech Republic'!G$3+Denmark!G$7+France!G$11+Germany!G$7+Italy!G$7+Spain!G$3+Switzerland!G$6+UK!G$6+Poland!G$5</f>
        <v>32583.976392996941</v>
      </c>
      <c r="H12" s="37">
        <f>Austria!H$8+'Czech Republic'!H$3+Denmark!H$7+France!H$11+Germany!H$7+Italy!H$7+Spain!H$3+Switzerland!H$6+UK!H$6+Poland!H$5</f>
        <v>42161.403243478846</v>
      </c>
      <c r="I12" s="37">
        <f>Austria!I$8+'Czech Republic'!I$3+Denmark!I$7+France!I$11+Germany!I$7+Italy!I$7+Spain!I$3+Switzerland!I$6+UK!I$6+Poland!I$5</f>
        <v>30235.85</v>
      </c>
      <c r="J12" s="37">
        <f>Austria!J$8+'Czech Republic'!J$3+Denmark!J$7+France!J$11+Germany!J$7+Italy!J$7+Spain!J$3+Switzerland!J$6+UK!J$6+Poland!J$5</f>
        <v>20731.73</v>
      </c>
      <c r="K12" s="37">
        <f>Austria!K$8+'Czech Republic'!K$3+Denmark!K$7+France!K$11+Germany!K$7+Italy!K$7+Spain!K$3+Switzerland!K$6+UK!K$6+Poland!K$5</f>
        <v>29419</v>
      </c>
      <c r="L12" s="37">
        <f>Austria!L$8+'Czech Republic'!L$3+Denmark!L$7+France!L$11+Germany!L$7+Italy!L$7+Spain!L$3+Switzerland!L$6+UK!L$6+Poland!L$5</f>
        <v>6992</v>
      </c>
      <c r="M12" s="37">
        <f>Austria!M$8+'Czech Republic'!M$3+Denmark!M$7+France!M$11+Germany!M$7+Italy!M$7+Spain!M$3+Switzerland!M$6+UK!M$6+Poland!M$5</f>
        <v>8580</v>
      </c>
      <c r="N12" s="37">
        <f>Austria!N$8+'Czech Republic'!N$3+Denmark!N$7+France!N$11+Germany!N$7+Italy!N$7+Spain!N$3+Switzerland!N$6+UK!N$6+Poland!N$5</f>
        <v>10946</v>
      </c>
      <c r="O12" s="37">
        <f>Austria!O$8+'Czech Republic'!O$3+Denmark!O$7+France!O$11+Germany!O$7+Italy!O$7+Spain!O$3+Switzerland!O$6+UK!O$6+Poland!O$5</f>
        <v>11545.358174493496</v>
      </c>
      <c r="P12" s="37">
        <f>Austria!P$8+'Czech Republic'!P$3+Denmark!P$7+France!P$11+Germany!P$7+Italy!P$7+Spain!P$3+Switzerland!P$6+UK!P$6+Poland!P$5</f>
        <v>16121.177103623355</v>
      </c>
      <c r="Q12" s="37">
        <f>Austria!Q$8+'Czech Republic'!Q$3+Denmark!Q$7+France!Q$11+Germany!Q$7+Italy!Q$7+Spain!Q$3+Switzerland!Q$6+UK!Q$6+Poland!Q$5</f>
        <v>3881</v>
      </c>
      <c r="R12" s="37">
        <f>Austria!R$8+'Czech Republic'!R$3+Denmark!R$7+France!R$11+Germany!R$7+Italy!R$7+Spain!R$3+Switzerland!R$6+UK!R$6+Poland!R$5</f>
        <v>8311</v>
      </c>
      <c r="S12" s="37">
        <f>Austria!S$8+'Czech Republic'!S$3+Denmark!S$7+France!S$11+Germany!S$7+Italy!S$7+Spain!S$3+Switzerland!S$6+UK!S$6+Poland!S$5</f>
        <v>11644.901934427464</v>
      </c>
      <c r="T12" s="37">
        <f>Austria!T$8+'Czech Republic'!T$3+Denmark!T$7+Germany!T$7+Italy!T$7+Spain!T$3+Switzerland!T$6+UK!T$6+Poland!T$5</f>
        <v>13894</v>
      </c>
      <c r="U12" s="65">
        <f>Austria!U$8+'Czech Republic'!U$3+Denmark!U$7+Germany!U$7+Italy!U$7+Spain!U$3+Switzerland!U$6+UK!U$6+Poland!U$5</f>
        <v>6397</v>
      </c>
    </row>
    <row r="13" spans="1:22" x14ac:dyDescent="0.25">
      <c r="A13" s="39" t="s">
        <v>14</v>
      </c>
      <c r="B13" s="46">
        <f t="shared" si="0"/>
        <v>0</v>
      </c>
      <c r="C13" s="73">
        <v>-3000</v>
      </c>
      <c r="D13" s="37">
        <v>-3000</v>
      </c>
      <c r="E13" s="42">
        <f>Austria!E$9+Belgium!E$5+'Czech Republic'!E$4+Denmark!E$8+Germany!E$8+Italy!E$8+Poland!E$6</f>
        <v>1000</v>
      </c>
      <c r="F13" s="37">
        <f>Austria!F$9+Belgium!F$5+'Czech Republic'!F$4+Denmark!F$8+Germany!F$8+Italy!F$8+Poland!F$6</f>
        <v>1000</v>
      </c>
      <c r="G13" s="37">
        <f>Austria!G$9+Belgium!G$5+'Czech Republic'!G$4+Denmark!G$8+Germany!G$8+Italy!G$8+Poland!G$6</f>
        <v>2000</v>
      </c>
      <c r="H13" s="37">
        <f>Austria!H$9+Belgium!H$5+'Czech Republic'!H$4+Denmark!H$8+Germany!H$8+Italy!H$8+Poland!H$6</f>
        <v>3025</v>
      </c>
      <c r="I13" s="37">
        <f>Austria!I$9+Belgium!I$5+'Czech Republic'!I$4+Denmark!I$8+Germany!I$8+Italy!I$8+Poland!I$6</f>
        <v>20000</v>
      </c>
      <c r="J13" s="37">
        <f>Austria!J$9+Belgium!J$5+'Czech Republic'!J$4+Denmark!J$8+Germany!J$8+Italy!J$8+Poland!J$6</f>
        <v>8000</v>
      </c>
      <c r="K13" s="37">
        <f>Austria!K$9+Belgium!K$5+'Czech Republic'!K$4+Denmark!K$8+Germany!K$8+Italy!K$8+Poland!K$6</f>
        <v>15274</v>
      </c>
      <c r="L13" s="37">
        <f>Austria!L$9+Belgium!L$5+'Czech Republic'!L$4+Denmark!L$8+Germany!L$8+Italy!L$8+Poland!L$6</f>
        <v>12087</v>
      </c>
      <c r="M13" s="37">
        <f>Austria!M$9+Belgium!M$5+'Czech Republic'!M$4+Denmark!M$8+Germany!M$8+Italy!M$8+Poland!M$6</f>
        <v>12097</v>
      </c>
      <c r="N13" s="37">
        <f>Austria!N$9+Belgium!N$5+'Czech Republic'!N$4+Denmark!N$8+Germany!N$8+Italy!N$8+Poland!N$6</f>
        <v>10244</v>
      </c>
      <c r="O13" s="37">
        <f>Austria!O$9+Belgium!O$5+'Czech Republic'!O$4+Denmark!O$8+Germany!O$8+Italy!O$8+Poland!O$6</f>
        <v>5005</v>
      </c>
      <c r="P13" s="37">
        <f>Austria!P$9+Belgium!P$5+'Czech Republic'!P$4+Denmark!P$8+Germany!P$8+Italy!P$8+Poland!P$6</f>
        <v>5062</v>
      </c>
      <c r="Q13" s="37">
        <f>Austria!Q$9+Belgium!Q$5+'Czech Republic'!Q$4+Denmark!Q$8+Germany!Q$8+Italy!Q$8+Poland!Q$6</f>
        <v>5020</v>
      </c>
      <c r="R13" s="37">
        <f>Austria!R$9+Belgium!R$5+'Czech Republic'!R$4+Denmark!R$8+Germany!R$8+Italy!R$8+Poland!R$6</f>
        <v>5049.1522443696613</v>
      </c>
      <c r="S13" s="37">
        <f>Austria!S$9+Belgium!S$5+'Czech Republic'!S$4+Denmark!S$8+Germany!S$8+Italy!S$8+Poland!S$6</f>
        <v>357</v>
      </c>
      <c r="T13" s="37">
        <f>Austria!T$9+Belgium!T$5+'Czech Republic'!T$4+Denmark!T$8+Germany!T$8+Italy!T$8+Poland!T$6</f>
        <v>596</v>
      </c>
      <c r="U13" s="65">
        <f>Austria!U$9+Belgium!U$5+'Czech Republic'!U$4+Denmark!U$8+Germany!U$8+Italy!U$8+Poland!U$6</f>
        <v>137</v>
      </c>
    </row>
    <row r="14" spans="1:22" x14ac:dyDescent="0.25">
      <c r="A14" s="39" t="s">
        <v>3</v>
      </c>
      <c r="B14" s="46">
        <f t="shared" si="0"/>
        <v>-0.26534715313795493</v>
      </c>
      <c r="C14" s="73">
        <v>-151543.65257549321</v>
      </c>
      <c r="D14" s="37">
        <v>-162211.18008612079</v>
      </c>
      <c r="E14" s="42">
        <f>Austria!E$10+Belgium!E$6+'Czech Republic'!E$5+France!E$12+Germany!E$9+Italy!E$9+Spain!E$4+Switzerland!E$8+Netherlands!E$4+Poland!E$7</f>
        <v>273502.76950997731</v>
      </c>
      <c r="F14" s="37">
        <f>Austria!F$10+Belgium!F$6+'Czech Republic'!F$5+France!F$12+Germany!F$9+Italy!F$9+Spain!F$4+Switzerland!F$8+Netherlands!F$4+Poland!F$7</f>
        <v>372288.44981436018</v>
      </c>
      <c r="G14" s="37">
        <f>Austria!G$10+Belgium!G$6+'Czech Republic'!G$5+France!G$12+Germany!G$9+Italy!G$9+Spain!G$4+Switzerland!G$8+Netherlands!G$4+Poland!G$7</f>
        <v>219622.81549493226</v>
      </c>
      <c r="H14" s="37">
        <f>Austria!H$10+Belgium!H$6+'Czech Republic'!H$5+France!H$12+Germany!H$9+Italy!H$9+Spain!H$4+Switzerland!H$8+Netherlands!H$4+Poland!H$7</f>
        <v>345690.30045806116</v>
      </c>
      <c r="I14" s="37">
        <f>Austria!I$10+Belgium!I$6+'Czech Republic'!I$5+France!I$12+Germany!I$9+Italy!I$9+Spain!I$4+Switzerland!I$8+Netherlands!I$4+Poland!I$7</f>
        <v>278114.36471688037</v>
      </c>
      <c r="J14" s="37">
        <f>Austria!J$10+Belgium!J$6+'Czech Republic'!J$5+France!J$12+Germany!J$9+Italy!J$9+Spain!J$4+Switzerland!J$8+Netherlands!J$4+Poland!J$7</f>
        <v>324296.03000000003</v>
      </c>
      <c r="K14" s="37">
        <f>Austria!K$10+Belgium!K$6+'Czech Republic'!K$5+France!K$12+Germany!K$9+Italy!K$9+Spain!K$4+Switzerland!K$8+Netherlands!K$4+Poland!K$7</f>
        <v>364221.16</v>
      </c>
      <c r="L14" s="37">
        <f>Austria!L$10+Belgium!L$6+'Czech Republic'!L$5+France!L$12+Germany!L$9+Italy!L$9+Spain!L$4+Switzerland!L$8+Netherlands!L$4+Poland!L$7</f>
        <v>160442</v>
      </c>
      <c r="M14" s="37">
        <f>Austria!M$10+Belgium!M$6+'Czech Republic'!M$5+France!M$12+Germany!M$9+Italy!M$9+Spain!M$4+Switzerland!M$8+Netherlands!M$4+Poland!M$7</f>
        <v>386159</v>
      </c>
      <c r="N14" s="37">
        <f>Austria!N$10+Belgium!N$6+'Czech Republic'!N$5+France!N$12+Germany!N$9+Italy!N$9+Spain!N$4+Switzerland!N$8+Netherlands!N$4+Poland!N$7</f>
        <v>351993</v>
      </c>
      <c r="O14" s="37">
        <f>Austria!O$10+Belgium!O$6+'Czech Republic'!O$5+France!O$12+Germany!O$9+Italy!O$9+Spain!O$4+Switzerland!O$8+Netherlands!O$4+Poland!O$7</f>
        <v>358982.31799065194</v>
      </c>
      <c r="P14" s="37">
        <f>Austria!P$10+Belgium!P$6+'Czech Republic'!P$5+France!P$12+Germany!P$9+Italy!P$9+Spain!P$4+Switzerland!P$8+Netherlands!P$4+Poland!P$7</f>
        <v>338716.94171554595</v>
      </c>
      <c r="Q14" s="37">
        <f>Austria!Q$10+Belgium!Q$6+'Czech Republic'!Q$5+France!Q$12+Germany!Q$9+Italy!Q$9+Spain!Q$4+Switzerland!Q$8+Netherlands!Q$4+Poland!Q$7</f>
        <v>190759.86908264243</v>
      </c>
      <c r="R14" s="37">
        <f>Austria!R$10+Belgium!R$6+'Czech Republic'!R$5+France!R$12+Germany!R$9+Italy!R$9+Spain!R$4+Switzerland!R$8+Netherlands!R$4+Poland!R$7</f>
        <v>302782.84371731814</v>
      </c>
      <c r="S14" s="37">
        <f>Austria!S$10+Belgium!S$6+'Czech Republic'!S$5+France!S$12+Germany!S$9+Italy!S$9+Spain!S$4+Switzerland!S$8+Netherlands!S$4+Poland!S$7</f>
        <v>263115.09966116719</v>
      </c>
      <c r="T14" s="37">
        <f>Austria!T$10+Belgium!T$6+'Czech Republic'!T$5+Germany!T$9+Italy!T$9+Spain!T$4+Switzerland!T$8+Netherlands!T$4+Poland!T$7</f>
        <v>238143.03</v>
      </c>
      <c r="U14" s="65">
        <f>Austria!U$10+Belgium!U$6+'Czech Republic'!U$5+Germany!U$9+Italy!U$9+Spain!U$4+Switzerland!U$8+Netherlands!U$4+Poland!U$7</f>
        <v>285071.09999999998</v>
      </c>
    </row>
    <row r="15" spans="1:22" x14ac:dyDescent="0.25">
      <c r="A15" s="39" t="s">
        <v>17</v>
      </c>
      <c r="B15" s="46">
        <f t="shared" si="0"/>
        <v>0.71155900771793401</v>
      </c>
      <c r="C15" s="73">
        <v>-25036.125456125461</v>
      </c>
      <c r="D15" s="37">
        <v>-16546.766748124512</v>
      </c>
      <c r="E15" s="42">
        <f>Austria!E$11+France!E$14+Italy!E$10+Spain!E$5+Switzerland!E$9</f>
        <v>40992.068344444444</v>
      </c>
      <c r="F15" s="37">
        <f>Austria!F$11+France!F$14+Italy!F$10+Spain!F$5+Switzerland!F$9</f>
        <v>23950.134444444444</v>
      </c>
      <c r="G15" s="37">
        <f>Austria!G$11+France!G$14+Italy!G$10+Spain!G$5+Switzerland!G$9</f>
        <v>24208.558752259793</v>
      </c>
      <c r="H15" s="37">
        <f>Austria!H$11+France!H$14+Italy!H$10+Spain!H$5+Switzerland!H$9</f>
        <v>31770.20281457256</v>
      </c>
      <c r="I15" s="37">
        <f>Austria!I$11+France!I$14+Italy!I$10+Spain!I$5+Switzerland!I$9</f>
        <v>36229.498251889047</v>
      </c>
      <c r="J15" s="37">
        <f>Austria!J$11+France!J$14+Italy!J$10+Spain!J$5+Switzerland!J$9</f>
        <v>33007</v>
      </c>
      <c r="K15" s="37">
        <f>Austria!K$11+France!K$14+Italy!K$10+Spain!K$5+Switzerland!K$9</f>
        <v>40741</v>
      </c>
      <c r="L15" s="37">
        <f>Austria!L$11+France!L$14+Italy!L$10+Spain!L$5+Switzerland!L$9</f>
        <v>26266.9</v>
      </c>
      <c r="M15" s="37">
        <f>Austria!M$11+France!M$14+Italy!M$10+Spain!M$5+Switzerland!M$9</f>
        <v>20452</v>
      </c>
      <c r="N15" s="37">
        <f>Austria!N$11+France!N$14+Italy!N$10+Spain!N$5+Switzerland!N$9</f>
        <v>38250</v>
      </c>
      <c r="O15" s="37">
        <f>Austria!O$11+France!O$14+Italy!O$10+Spain!O$5+Switzerland!O$9</f>
        <v>24204.316742293162</v>
      </c>
      <c r="P15" s="37">
        <f>Austria!P$11+France!P$14+Italy!P$10+Spain!P$5+Switzerland!P$9</f>
        <v>26971.754900265147</v>
      </c>
      <c r="Q15" s="37">
        <f>Austria!Q$11+France!Q$14+Italy!Q$10+Spain!Q$5+Switzerland!Q$9</f>
        <v>8801.2998659002769</v>
      </c>
      <c r="R15" s="37">
        <f>Austria!R$11+France!R$14+Italy!R$10+Spain!R$5+Switzerland!R$9</f>
        <v>13623.82196220554</v>
      </c>
      <c r="S15" s="37">
        <f>Austria!S$11+France!S$14+Italy!S$10+Spain!S$5+Switzerland!S$9</f>
        <v>9739.0069714267447</v>
      </c>
      <c r="T15" s="37">
        <f>Austria!T$11+Italy!T$10+Spain!T$5+Switzerland!T$9</f>
        <v>2917.11</v>
      </c>
      <c r="U15" s="65">
        <f>Austria!U$11+Italy!U$10+Spain!U$5+Switzerland!U$9</f>
        <v>3557</v>
      </c>
    </row>
    <row r="16" spans="1:22" x14ac:dyDescent="0.25">
      <c r="A16" s="39" t="s">
        <v>15</v>
      </c>
      <c r="B16" s="46" t="str">
        <f t="shared" si="0"/>
        <v/>
      </c>
      <c r="C16" s="73">
        <v>0</v>
      </c>
      <c r="D16" s="37">
        <v>0</v>
      </c>
      <c r="E16" s="42">
        <f>Denmark!E$10+Germany!E$10</f>
        <v>0</v>
      </c>
      <c r="F16" s="37">
        <f>Denmark!F$10+Germany!F$10</f>
        <v>0</v>
      </c>
      <c r="G16" s="37">
        <f>Denmark!G$10+Germany!G$10</f>
        <v>0</v>
      </c>
      <c r="H16" s="37">
        <f>Denmark!H$10+Germany!H$10</f>
        <v>0</v>
      </c>
      <c r="I16" s="37">
        <f>Denmark!I$10+Germany!I$10</f>
        <v>0</v>
      </c>
      <c r="J16" s="37">
        <f>Denmark!J$10+Germany!J$10</f>
        <v>0</v>
      </c>
      <c r="K16" s="37">
        <f>Denmark!K$10+Germany!K$10</f>
        <v>0</v>
      </c>
      <c r="L16" s="37">
        <f>Denmark!L$10+Germany!L$10</f>
        <v>0</v>
      </c>
      <c r="M16" s="37">
        <f>Denmark!M$10+Germany!M$10</f>
        <v>0</v>
      </c>
      <c r="N16" s="37">
        <f>Denmark!N$10+Germany!N$10</f>
        <v>0</v>
      </c>
      <c r="O16" s="37">
        <f>Denmark!O$10+Germany!O$10</f>
        <v>0</v>
      </c>
      <c r="P16" s="37">
        <f>Denmark!P$10+Germany!P$10</f>
        <v>0</v>
      </c>
      <c r="Q16" s="37">
        <f>Denmark!Q$10+Germany!Q$10</f>
        <v>0</v>
      </c>
      <c r="R16" s="37">
        <f>Denmark!R$10+Germany!R$10</f>
        <v>0</v>
      </c>
      <c r="S16" s="37">
        <f>Denmark!S$10+Germany!S$10</f>
        <v>0</v>
      </c>
      <c r="T16" s="37">
        <f>Denmark!T$10+Germany!T$10</f>
        <v>0</v>
      </c>
      <c r="U16" s="65">
        <f>Denmark!U$10+Germany!U$10</f>
        <v>0</v>
      </c>
    </row>
    <row r="17" spans="1:107" x14ac:dyDescent="0.25">
      <c r="A17" s="39" t="s">
        <v>10</v>
      </c>
      <c r="B17" s="46">
        <f t="shared" si="0"/>
        <v>-0.30364727950032905</v>
      </c>
      <c r="C17" s="73">
        <v>-25498.866608387147</v>
      </c>
      <c r="D17" s="37">
        <v>-20829.847138024074</v>
      </c>
      <c r="E17" s="42">
        <f>Austria!E$12+'Czech Republic'!E$6+Denmark!E$11+France!E$16+Germany!E$11+Italy!E$11+Switzerland!E$10+Poland!E$8</f>
        <v>25912.655328798184</v>
      </c>
      <c r="F17" s="37">
        <f>Austria!F$12+'Czech Republic'!F$6+Denmark!F$11+France!F$16+Germany!F$11+Italy!F$11+Switzerland!F$10+Poland!F$8</f>
        <v>37211.968253968254</v>
      </c>
      <c r="G17" s="37">
        <f>Austria!G$12+'Czech Republic'!G$6+Denmark!G$11+France!G$16+Germany!G$11+Italy!G$11+Switzerland!G$10+Poland!G$8</f>
        <v>54755.21057513915</v>
      </c>
      <c r="H17" s="37">
        <f>Austria!H$12+'Czech Republic'!H$6+Denmark!H$11+France!H$16+Germany!H$11+Italy!H$11+Switzerland!H$10+Poland!H$8</f>
        <v>68550.824675324679</v>
      </c>
      <c r="I17" s="37">
        <f>Austria!I$12+'Czech Republic'!I$6+Denmark!I$11+France!I$16+Germany!I$11+Italy!I$11+Switzerland!I$10+Poland!I$8</f>
        <v>83177.25</v>
      </c>
      <c r="J17" s="37">
        <f>Austria!J$12+'Czech Republic'!J$6+Denmark!J$11+France!J$16+Germany!J$11+Italy!J$11+Switzerland!J$10+Poland!J$8</f>
        <v>19741.349999999999</v>
      </c>
      <c r="K17" s="37">
        <f>Austria!K$12+'Czech Republic'!K$6+Denmark!K$11+France!K$16+Germany!K$11+Italy!K$11+Switzerland!K$10+Poland!K$8</f>
        <v>94867</v>
      </c>
      <c r="L17" s="37">
        <f>Austria!L$12+'Czech Republic'!L$6+Denmark!L$11+France!L$16+Germany!L$11+Italy!L$11+Switzerland!L$10+Poland!L$8</f>
        <v>44527</v>
      </c>
      <c r="M17" s="37">
        <f>Austria!M$12+'Czech Republic'!M$6+Denmark!M$11+France!M$16+Germany!M$11+Italy!M$11+Switzerland!M$10+Poland!M$8</f>
        <v>65113</v>
      </c>
      <c r="N17" s="37">
        <f>Austria!N$12+'Czech Republic'!N$6+Denmark!N$11+France!N$16+Germany!N$11+Italy!N$11+Switzerland!N$10+Poland!N$8</f>
        <v>81146</v>
      </c>
      <c r="O17" s="37">
        <f>Austria!O$12+'Czech Republic'!O$6+Denmark!O$11+France!O$16+Germany!O$11+Italy!O$11+Switzerland!O$10+Poland!O$8</f>
        <v>47473</v>
      </c>
      <c r="P17" s="37">
        <f>Austria!P$12+'Czech Republic'!P$6+Denmark!P$11+France!P$16+Germany!P$11+Italy!P$11+Switzerland!P$10+Poland!P$8</f>
        <v>69040</v>
      </c>
      <c r="Q17" s="37">
        <f>Austria!Q$12+'Czech Republic'!Q$6+Denmark!Q$11+France!Q$16+Germany!Q$11+Italy!Q$11+Switzerland!Q$10+Poland!Q$8</f>
        <v>41395</v>
      </c>
      <c r="R17" s="37">
        <f>Austria!R$12+'Czech Republic'!R$6+Denmark!R$11+France!R$16+Germany!R$11+Italy!R$11+Switzerland!R$10+Poland!R$8</f>
        <v>36592.824747605489</v>
      </c>
      <c r="S17" s="37">
        <f>Austria!S$12+'Czech Republic'!S$6+Denmark!S$11+France!S$16+Germany!S$11+Italy!S$11+Switzerland!S$10+Poland!S$8</f>
        <v>17988.039893829649</v>
      </c>
      <c r="T17" s="37">
        <f>Austria!T$12+'Czech Republic'!T$6+Denmark!T$11+Germany!T$11+Italy!T$11+Switzerland!T$10+Poland!T$8</f>
        <v>54390.07</v>
      </c>
      <c r="U17" s="65">
        <f>Austria!U$12+'Czech Republic'!U$6+Denmark!U$11+Germany!U$11+Italy!U$11+Switzerland!U$10+Poland!U$8</f>
        <v>38762</v>
      </c>
      <c r="V17" s="1"/>
    </row>
    <row r="18" spans="1:107" x14ac:dyDescent="0.25">
      <c r="A18" s="39" t="s">
        <v>27</v>
      </c>
      <c r="B18" s="46">
        <f t="shared" si="0"/>
        <v>1.2863921736386591E-3</v>
      </c>
      <c r="C18" s="73">
        <v>-17718.531570457591</v>
      </c>
      <c r="D18" s="37">
        <v>-21570.23224217676</v>
      </c>
      <c r="E18" s="42">
        <f>Austria!E$13+Belgium!E$7+'Czech Republic'!E$7+Denmark!E$13+France!E$18+Germany!E$13+Italy!E$12+Switzerland!E$11+Netherlands!E$5+UK!E$7+Poland!E$9</f>
        <v>40463.484618594099</v>
      </c>
      <c r="F18" s="37">
        <f>Austria!F$13+Belgium!F$7+'Czech Republic'!F$7+Denmark!F$13+France!F$18+Germany!F$13+Italy!F$12+Switzerland!F$11+Netherlands!F$5+UK!F$7+Poland!F$9</f>
        <v>40411.49958180706</v>
      </c>
      <c r="G18" s="37">
        <f>Austria!G$13+Belgium!G$7+'Czech Republic'!G$7+Denmark!G$13+France!G$18+Germany!G$13+Italy!G$12+Switzerland!G$11+Netherlands!G$5+UK!G$7+Poland!G$9</f>
        <v>49348.183079752867</v>
      </c>
      <c r="H18" s="37">
        <f>Austria!H$13+Belgium!H$7+'Czech Republic'!H$7+Denmark!H$13+France!H$18+Germany!H$13+Italy!H$12+Switzerland!H$11+Netherlands!H$5+UK!H$7+Poland!H$9</f>
        <v>89234.426530612254</v>
      </c>
      <c r="I18" s="37">
        <f>Austria!I$13+Belgium!I$7+'Czech Republic'!I$7+Denmark!I$13+France!I$18+Germany!I$13+Italy!I$12+Switzerland!I$11+Netherlands!I$5+UK!I$7+Poland!I$9</f>
        <v>59627.35</v>
      </c>
      <c r="J18" s="37">
        <f>Austria!J$13+Belgium!J$7+'Czech Republic'!J$7+Denmark!J$13+France!J$18+Germany!J$13+Italy!J$12+Switzerland!J$11+Netherlands!J$5+UK!J$7+Poland!J$9</f>
        <v>57262.869999999995</v>
      </c>
      <c r="K18" s="37">
        <f>Austria!K$13+Belgium!K$7+'Czech Republic'!K$7+Denmark!K$13+France!K$18+Germany!K$13+Italy!K$12+Switzerland!K$11+Netherlands!K$5+UK!K$7+Poland!K$9</f>
        <v>75707.486600000004</v>
      </c>
      <c r="L18" s="37">
        <f>Austria!L$13+Belgium!L$7+'Czech Republic'!L$7+Denmark!L$13+France!L$18+Germany!L$13+Italy!L$12+Switzerland!L$11+Netherlands!L$5+UK!L$7+Poland!L$9</f>
        <v>23855</v>
      </c>
      <c r="M18" s="37">
        <f>Austria!M$13+Belgium!M$7+'Czech Republic'!M$7+Denmark!M$13+France!M$18+Germany!M$13+Italy!M$12+Switzerland!M$11+Netherlands!M$5+UK!M$7+Poland!M$9</f>
        <v>72528</v>
      </c>
      <c r="N18" s="37">
        <f>Austria!N$13+Belgium!N$7+'Czech Republic'!N$7+Denmark!N$13+France!N$18+Germany!N$13+Italy!N$12+Switzerland!N$11+Netherlands!N$5+UK!N$7+Poland!N$9</f>
        <v>87348</v>
      </c>
      <c r="O18" s="37">
        <f>Austria!O$13+Belgium!O$7+'Czech Republic'!O$7+Denmark!O$13+France!O$18+Germany!O$13+Italy!O$12+Switzerland!O$11+Netherlands!O$5+UK!O$7+Poland!O$9</f>
        <v>97191</v>
      </c>
      <c r="P18" s="37">
        <f>Austria!P$13+Belgium!P$7+'Czech Republic'!P$7+Denmark!P$14+France!P$18+Germany!P$13+Italy!P$12+Switzerland!P$11+Netherlands!P$5+UK!P$7+Poland!P$9</f>
        <v>76023</v>
      </c>
      <c r="Q18" s="37">
        <f>Austria!Q$13+Belgium!Q$7+'Czech Republic'!Q$7+Denmark!Q$14+France!Q$18+Germany!Q$13+Italy!Q$12+Switzerland!Q$11+Netherlands!Q$5+UK!Q$7+Poland!Q$9</f>
        <v>54479</v>
      </c>
      <c r="R18" s="37">
        <f>Austria!R$13+Belgium!R$7+'Czech Republic'!R$7+Denmark!R$14+France!R$18+Germany!R$13+Italy!R$12+Switzerland!R$11+Netherlands!R$5+UK!R$7+Poland!R$9</f>
        <v>90450.192161532497</v>
      </c>
      <c r="S18" s="37">
        <f>Austria!S$13+Belgium!S$7+'Czech Republic'!S$7+Denmark!S$13+France!S$18+Germany!S$13+Italy!S$12+Switzerland!S$11+Netherlands!S$5+UK!S$7+Poland!S$9</f>
        <v>69752.830100787221</v>
      </c>
      <c r="T18" s="37">
        <f>Austria!T$13+Belgium!T$7+'Czech Republic'!T$7+Denmark!T$13+Germany!T$13+Italy!T$12+Switzerland!T$11+Netherlands!T$5+UK!T$7+Poland!T$9</f>
        <v>119031.94</v>
      </c>
      <c r="U18" s="65">
        <f>Austria!U$13+Belgium!U$7+'Czech Republic'!U$7+Denmark!U$13+Germany!U$13+Italy!U$12+Switzerland!U$11+Netherlands!U$5+UK!U$7+Poland!U$9</f>
        <v>134385</v>
      </c>
      <c r="V18" s="1"/>
    </row>
    <row r="19" spans="1:107" x14ac:dyDescent="0.25">
      <c r="A19" s="39" t="s">
        <v>26</v>
      </c>
      <c r="B19" s="46">
        <f t="shared" si="0"/>
        <v>-8.9119426766755105E-2</v>
      </c>
      <c r="C19" s="73">
        <v>-3865.0848068134146</v>
      </c>
      <c r="D19" s="37">
        <v>-3934.8501559551023</v>
      </c>
      <c r="E19" s="42">
        <f>Austria!E$14+Belgium!E$8+Denmark!E$14+Germany!E$14+UK!E$8</f>
        <v>6848</v>
      </c>
      <c r="F19" s="37">
        <f>Austria!F$14+Belgium!F$8+Denmark!F$14+Germany!F$14+UK!F$8</f>
        <v>7517.9998357989625</v>
      </c>
      <c r="G19" s="37">
        <f>Austria!G$14+Belgium!G$8+Denmark!G$14+Germany!G$14+UK!G$8</f>
        <v>11690.853556628335</v>
      </c>
      <c r="H19" s="37">
        <f>Austria!H$14+Belgium!H$8+Denmark!H$14+Germany!H$14+UK!H$8</f>
        <v>25691</v>
      </c>
      <c r="I19" s="37">
        <f>Austria!I$14+Belgium!I$8+Denmark!I$14+Germany!I$14+UK!I$8</f>
        <v>15837</v>
      </c>
      <c r="J19" s="37">
        <f>Austria!J$14+Belgium!J$8+Denmark!J$14+Germany!J$14+UK!J$8</f>
        <v>27457</v>
      </c>
      <c r="K19" s="37">
        <f>Austria!K$14+Belgium!K$8+Denmark!K$14+Germany!K$14+UK!K$8</f>
        <v>36557</v>
      </c>
      <c r="L19" s="37">
        <f>Austria!L$14+Belgium!L$8+Denmark!L$14+Germany!L$14+UK!L$8</f>
        <v>3823</v>
      </c>
      <c r="M19" s="37">
        <f>Austria!M$14+Belgium!M$8+Denmark!M$14+Germany!M$14+UK!M$8</f>
        <v>26646</v>
      </c>
      <c r="N19" s="37">
        <f>Austria!N$14+Belgium!N$8+Denmark!N$14+Germany!N$14+UK!N$8</f>
        <v>31592</v>
      </c>
      <c r="O19" s="37">
        <f>Austria!O$14+Belgium!O$8+Denmark!O$14+Germany!O$14+UK!O$8</f>
        <v>37186</v>
      </c>
      <c r="P19" s="37">
        <f>Austria!P$14+Belgium!P$8+Denmark!P$15+Germany!P$14+UK!P$8</f>
        <v>25772</v>
      </c>
      <c r="Q19" s="37">
        <f>Austria!Q$14+Belgium!Q$8+Denmark!Q$15+Germany!Q$14+UK!Q$8</f>
        <v>25109</v>
      </c>
      <c r="R19" s="37">
        <f>Austria!R$14+Belgium!R$8+Denmark!R$15+Germany!R$14+UK!R$8</f>
        <v>28173</v>
      </c>
      <c r="S19" s="37">
        <f>Austria!S$14+Belgium!S$8+Denmark!S$14+Germany!S$14+UK!S$8</f>
        <v>18015</v>
      </c>
      <c r="T19" s="37">
        <f>Austria!T$14+Belgium!T$8+Denmark!T$14+Germany!T$14+UK!T$8</f>
        <v>30592</v>
      </c>
      <c r="U19" s="65">
        <f>Austria!U$14+Belgium!U$8+Denmark!U$14+Germany!U$14+UK!U$8</f>
        <v>26775</v>
      </c>
    </row>
    <row r="20" spans="1:107" x14ac:dyDescent="0.25">
      <c r="A20" s="39" t="s">
        <v>51</v>
      </c>
      <c r="B20" s="119" t="str">
        <f t="shared" si="0"/>
        <v/>
      </c>
      <c r="C20" s="120">
        <v>0</v>
      </c>
      <c r="D20" s="37">
        <v>0</v>
      </c>
      <c r="E20" s="42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0</v>
      </c>
      <c r="N20" s="37">
        <f>Italy!N$13</f>
        <v>0</v>
      </c>
      <c r="O20" s="37">
        <f>Italy!O$13</f>
        <v>0</v>
      </c>
      <c r="P20" s="37">
        <f>Italy!P$13</f>
        <v>0</v>
      </c>
      <c r="Q20" s="37">
        <f>Italy!Q$13</f>
        <v>0</v>
      </c>
      <c r="R20" s="37">
        <f>Italy!R$13</f>
        <v>0</v>
      </c>
      <c r="S20" s="37">
        <f>Italy!S$13+Poland!S$10</f>
        <v>0</v>
      </c>
      <c r="T20" s="37">
        <f>Italy!T$13+Poland!T$10</f>
        <v>0</v>
      </c>
      <c r="U20" s="65">
        <f>Italy!U$13+Poland!U$10</f>
        <v>0</v>
      </c>
    </row>
    <row r="21" spans="1:107" x14ac:dyDescent="0.25">
      <c r="A21" s="39" t="s">
        <v>34</v>
      </c>
      <c r="B21" s="46" t="str">
        <f t="shared" si="0"/>
        <v/>
      </c>
      <c r="C21" s="73">
        <v>0</v>
      </c>
      <c r="D21" s="37">
        <v>0</v>
      </c>
      <c r="E21" s="42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0</v>
      </c>
      <c r="R21" s="37">
        <f>Poland!R$11</f>
        <v>0</v>
      </c>
      <c r="S21" s="37">
        <f>Poland!S$11</f>
        <v>0</v>
      </c>
      <c r="T21" s="37">
        <f>Poland!T$11</f>
        <v>6000</v>
      </c>
      <c r="U21" s="65">
        <f>Poland!U$11</f>
        <v>1500</v>
      </c>
    </row>
    <row r="22" spans="1:107" x14ac:dyDescent="0.25">
      <c r="A22" s="39" t="s">
        <v>18</v>
      </c>
      <c r="B22" s="46">
        <f t="shared" si="0"/>
        <v>-0.18404221884657682</v>
      </c>
      <c r="C22" s="73">
        <v>-1655.4511428571425</v>
      </c>
      <c r="D22" s="37">
        <v>-1285.3047000000001</v>
      </c>
      <c r="E22" s="42">
        <f>Italy!E$14</f>
        <v>1557.7450000000001</v>
      </c>
      <c r="F22" s="37">
        <f>Italy!F$14</f>
        <v>1909.1</v>
      </c>
      <c r="G22" s="37">
        <f>Italy!G$14</f>
        <v>1397.145</v>
      </c>
      <c r="H22" s="37">
        <f>Italy!H$14</f>
        <v>2713.8359999999998</v>
      </c>
      <c r="I22" s="37">
        <f>Italy!I$14</f>
        <v>3729.6439999999998</v>
      </c>
      <c r="J22" s="37">
        <f>Italy!J$14</f>
        <v>1217</v>
      </c>
      <c r="K22" s="37">
        <f>Italy!K$14</f>
        <v>4657</v>
      </c>
      <c r="L22" s="37">
        <f>Italy!L$14</f>
        <v>42.9</v>
      </c>
      <c r="M22" s="37">
        <f>Italy!M$14</f>
        <v>3203</v>
      </c>
      <c r="N22" s="37">
        <f>Italy!N$14</f>
        <v>4487</v>
      </c>
      <c r="O22" s="37">
        <f>Italy!O$14</f>
        <v>4694</v>
      </c>
      <c r="P22" s="37">
        <f>Italy!P$14</f>
        <v>4576</v>
      </c>
      <c r="Q22" s="37">
        <f>Italy!Q$14</f>
        <v>2699</v>
      </c>
      <c r="R22" s="37">
        <f>Italy!R$14</f>
        <v>1878.8118871343515</v>
      </c>
      <c r="S22" s="37">
        <f>Italy!S$14</f>
        <v>3914.0158989036527</v>
      </c>
      <c r="T22" s="37">
        <f>Italy!T$14</f>
        <v>1304.4100000000001</v>
      </c>
      <c r="U22" s="65">
        <f>Italy!U$14</f>
        <v>6638</v>
      </c>
    </row>
    <row r="23" spans="1:107" x14ac:dyDescent="0.25">
      <c r="A23" s="39" t="s">
        <v>13</v>
      </c>
      <c r="B23" s="46">
        <f t="shared" si="0"/>
        <v>-0.13535493980043201</v>
      </c>
      <c r="C23" s="73">
        <v>-11304.774661498708</v>
      </c>
      <c r="D23" s="37">
        <v>-13184.967533232106</v>
      </c>
      <c r="E23" s="42">
        <f>Austria!E$16+Denmark!E$16+Germany!E$15+Switzerland!E$14+Poland!E$12+Italy!E$15</f>
        <v>14478.440222222223</v>
      </c>
      <c r="F23" s="37">
        <f>Austria!F$16+Denmark!F$16+Germany!F$15+Switzerland!F$14+Poland!F$12+Italy!F$15</f>
        <v>16744.952222222222</v>
      </c>
      <c r="G23" s="37">
        <f>Austria!G$16+Denmark!G$16+Germany!G$15+Switzerland!G$14+Poland!G$12+Italy!G$15</f>
        <v>18561.035250463821</v>
      </c>
      <c r="H23" s="37">
        <f>Austria!H$16+Denmark!H$16+Germany!H$15+Switzerland!H$14+Poland!H$12+Italy!H$15</f>
        <v>19956.731910946197</v>
      </c>
      <c r="I23" s="37">
        <f>Austria!I$16+Denmark!I$16+Germany!I$15+Switzerland!I$14+Poland!I$12+Italy!I$15</f>
        <v>15945.317799999999</v>
      </c>
      <c r="J23" s="37">
        <f>Austria!J$16+Denmark!J$16+Germany!J$15+Switzerland!J$14+Poland!J$12+Italy!J$15</f>
        <v>5814.8099999999995</v>
      </c>
      <c r="K23" s="37">
        <f>Austria!K$16+Denmark!K$16+Germany!K$15+Switzerland!K$14+Poland!K$12+Italy!K$15</f>
        <v>12665</v>
      </c>
      <c r="L23" s="37">
        <f>Austria!L$16+Denmark!L$16+Germany!L$15+Switzerland!L$14+Poland!L$12</f>
        <v>559</v>
      </c>
      <c r="M23" s="37">
        <f>Austria!M$16+Denmark!M$16+Germany!M$15+Switzerland!M$14+Poland!M$12</f>
        <v>3151</v>
      </c>
      <c r="N23" s="37">
        <f>Austria!N$16+Denmark!N$16+Germany!N$15+Switzerland!N$14+Poland!N$12</f>
        <v>3713</v>
      </c>
      <c r="O23" s="37">
        <f>Austria!O$16+Denmark!O$16+Germany!O$15+Switzerland!O$14+Poland!O$12</f>
        <v>3899</v>
      </c>
      <c r="P23" s="37">
        <f>Austria!P$16+Denmark!P$17+Germany!P$15+Switzerland!P$14</f>
        <v>1522</v>
      </c>
      <c r="Q23" s="37">
        <f>Austria!Q$16+Denmark!Q$17+Germany!Q$15+Switzerland!Q$14</f>
        <v>621</v>
      </c>
      <c r="R23" s="37">
        <f>Austria!R$16+Denmark!R$17+Germany!R$15+Switzerland!R$14</f>
        <v>1984</v>
      </c>
      <c r="S23" s="37">
        <f>Austria!S$16+Denmark!S$16+Germany!S$15+Switzerland!S$14</f>
        <v>1132</v>
      </c>
      <c r="T23" s="37">
        <f>Austria!T$16+Denmark!T$16+Germany!T$15+Switzerland!T$14</f>
        <v>1434</v>
      </c>
      <c r="U23" s="65">
        <f>Austria!U$16+Denmark!U$16+Germany!U$15+Switzerland!U$14</f>
        <v>616</v>
      </c>
    </row>
    <row r="24" spans="1:107" x14ac:dyDescent="0.25">
      <c r="A24" s="39" t="s">
        <v>19</v>
      </c>
      <c r="B24" s="46">
        <f t="shared" si="0"/>
        <v>-0.11258220905462582</v>
      </c>
      <c r="C24" s="73">
        <v>-20814.413956063931</v>
      </c>
      <c r="D24" s="37">
        <v>-17162.85779576399</v>
      </c>
      <c r="E24" s="42">
        <f>'Czech Republic'!E$8+France!E$19+Italy!E$16+Spain!E$6+Poland!E$13</f>
        <v>7248.6060000000052</v>
      </c>
      <c r="F24" s="37">
        <f>'Czech Republic'!F$8+France!F$19+Italy!F$16+Spain!F$6+Poland!F$13</f>
        <v>8168.2</v>
      </c>
      <c r="G24" s="37">
        <f>'Czech Republic'!G$8+France!G$19+Italy!G$16+Spain!G$6+Poland!G$13</f>
        <v>13775.943348678751</v>
      </c>
      <c r="H24" s="37">
        <f>'Czech Republic'!H$8+France!H$19+Italy!H$16+Spain!H$6+Poland!H$13</f>
        <v>18957.409269723059</v>
      </c>
      <c r="I24" s="37">
        <f>'Czech Republic'!I$8+France!I$19+Italy!I$16+Spain!I$6+Poland!I$13</f>
        <v>21472.195416378378</v>
      </c>
      <c r="J24" s="37">
        <f>'Czech Republic'!J$8+France!J$19+Italy!J$16+Spain!J$6+Poland!J$13</f>
        <v>21575</v>
      </c>
      <c r="K24" s="37">
        <f>'Czech Republic'!K$8+France!K$19+Italy!K$16+Spain!K$6+Poland!K$13</f>
        <v>25874</v>
      </c>
      <c r="L24" s="37">
        <f>'Czech Republic'!L$8+France!L$19+Italy!L$16+Spain!L$6+Poland!L$13</f>
        <v>8036.0999999999995</v>
      </c>
      <c r="M24" s="37">
        <f>'Czech Republic'!M$8+France!M$19+Italy!M$16+Spain!M$6+Poland!M$13</f>
        <v>28307</v>
      </c>
      <c r="N24" s="37">
        <f>'Czech Republic'!N$8+France!N$19+Italy!N$16+Spain!N$6+Poland!N$13</f>
        <v>21236</v>
      </c>
      <c r="O24" s="37">
        <f>'Czech Republic'!O$8+France!O$19+Italy!O$16+Spain!O$6+Poland!O$13</f>
        <v>15019.85788780956</v>
      </c>
      <c r="P24" s="37">
        <f>'Czech Republic'!P$8+France!P$19+Italy!P$16+Spain!P$6+Poland!P$12+Poland!P$13</f>
        <v>19383.89741676471</v>
      </c>
      <c r="Q24" s="37">
        <f>'Czech Republic'!Q$8+France!Q$19+Italy!Q$16+Spain!Q$6+Poland!Q$12+Poland!Q$13</f>
        <v>4019.622273511407</v>
      </c>
      <c r="R24" s="37">
        <f>'Czech Republic'!R$8+France!R$19+Italy!R$16+Spain!R$6+Poland!R$12+Poland!R$13</f>
        <v>5691.2569919751486</v>
      </c>
      <c r="S24" s="37">
        <f>'Czech Republic'!S$8+France!S$19+Italy!S$16+Spain!S$6+Poland!S$12+Poland!S$13</f>
        <v>7002.6013438622767</v>
      </c>
      <c r="T24" s="37">
        <f>'Czech Republic'!T$8+Italy!T$16+Spain!T$6+Poland!T$12+Poland!T$13</f>
        <v>11037.81</v>
      </c>
      <c r="U24" s="65">
        <f>'Czech Republic'!U$8+Italy!U$16+Spain!U$6+Poland!U$12+Poland!U$13</f>
        <v>9108.7000000000007</v>
      </c>
    </row>
    <row r="25" spans="1:107" x14ac:dyDescent="0.25">
      <c r="A25" s="39" t="s">
        <v>135</v>
      </c>
      <c r="B25" s="46">
        <f t="shared" si="0"/>
        <v>-0.2106212144628678</v>
      </c>
      <c r="C25" s="73">
        <v>-33544.997256186893</v>
      </c>
      <c r="D25" s="37">
        <v>-29666.589147286824</v>
      </c>
      <c r="E25" s="42">
        <f>Germany!E$16+Austria!E$17+Poland!E$14</f>
        <v>47671.111111111109</v>
      </c>
      <c r="F25" s="37">
        <f>Germany!F$16+Austria!F$17+Poland!F$14</f>
        <v>60390.666666666672</v>
      </c>
      <c r="G25" s="37">
        <f>Germany!G$16+Austria!G$17+Poland!G$14</f>
        <v>76789.317254174399</v>
      </c>
      <c r="H25" s="37">
        <f>Germany!H$16+Austria!H$17+Poland!H$14</f>
        <v>77586.78571428571</v>
      </c>
      <c r="I25" s="37">
        <f>Germany!I$16+Austria!I$17+Poland!I$14</f>
        <v>51920.95</v>
      </c>
      <c r="J25" s="37">
        <f>Germany!J$16+Austria!J$17+Poland!J$14</f>
        <v>26467.17</v>
      </c>
      <c r="K25" s="37">
        <f>Germany!K$16+Austria!K$17+Poland!K$14</f>
        <v>41372</v>
      </c>
      <c r="L25" s="37">
        <f>Germany!L$16+Austria!L$17</f>
        <v>13809</v>
      </c>
      <c r="M25" s="37">
        <f>Germany!M$16</f>
        <v>26848</v>
      </c>
      <c r="N25" s="37">
        <f>Germany!N$16</f>
        <v>16081</v>
      </c>
      <c r="O25" s="37">
        <f>Germany!O$16</f>
        <v>10534</v>
      </c>
      <c r="P25" s="37">
        <f>Germany!P$16</f>
        <v>7742</v>
      </c>
      <c r="Q25" s="37">
        <f>Germany!Q$16</f>
        <v>8421</v>
      </c>
      <c r="R25" s="37">
        <f>Germany!R$16</f>
        <v>6290</v>
      </c>
      <c r="S25" s="37">
        <f>Germany!S$16</f>
        <v>2724</v>
      </c>
      <c r="T25" s="37">
        <f>Germany!T$16</f>
        <v>5220</v>
      </c>
      <c r="U25" s="65">
        <f>Germany!U$16</f>
        <v>3536</v>
      </c>
    </row>
    <row r="26" spans="1:107" s="4" customFormat="1" ht="13.8" thickBot="1" x14ac:dyDescent="0.3">
      <c r="A26" s="39" t="s">
        <v>124</v>
      </c>
      <c r="B26" s="46">
        <f t="shared" si="0"/>
        <v>7.7045303974221255</v>
      </c>
      <c r="C26" s="73">
        <v>-6288.2713999999996</v>
      </c>
      <c r="D26" s="37">
        <v>-4114</v>
      </c>
      <c r="E26" s="42">
        <f>France!E$21+France!E$20+Italy!E$17+Switzerland!E$12</f>
        <v>8103.9177999999993</v>
      </c>
      <c r="F26" s="37">
        <f>France!F$21+France!F$20+Italy!F$17+Switzerland!F$12</f>
        <v>931</v>
      </c>
      <c r="G26" s="37">
        <f>France!G$21+France!G$20+Italy!G$17+Switzerland!G$12</f>
        <v>7759</v>
      </c>
      <c r="H26" s="37">
        <f>France!H$21+France!H$20+Italy!H$17+Switzerland!H$12</f>
        <v>6967</v>
      </c>
      <c r="I26" s="37">
        <f>France!I$21+France!I$20+Italy!I$17+Switzerland!I$12</f>
        <v>6662.6486999999997</v>
      </c>
      <c r="J26" s="37">
        <f>France!J$21+France!J$20+Italy!J$17+Switzerland!J$12</f>
        <v>1764</v>
      </c>
      <c r="K26" s="37">
        <f>France!K$21+France!K$20+Italy!K$17+Switzerland!K$12</f>
        <v>6414</v>
      </c>
      <c r="L26" s="37">
        <f>France!L$21+France!L$20+Italy!L$17+Switzerland!L$12</f>
        <v>347</v>
      </c>
      <c r="M26" s="37">
        <f>France!M$21+France!M$20+Italy!M$17+Switzerland!M$12</f>
        <v>3683</v>
      </c>
      <c r="N26" s="37">
        <f>France!N$21+France!N$20+Italy!N$17+Switzerland!N$12</f>
        <v>3271</v>
      </c>
      <c r="O26" s="37">
        <f>France!O$21+France!O$20+Italy!O$17+Switzerland!O$12</f>
        <v>2518</v>
      </c>
      <c r="P26" s="37">
        <f>France!P$21+France!P$20+Italy!P$17+Switzerland!P$12</f>
        <v>6114</v>
      </c>
      <c r="Q26" s="37">
        <f>France!Q$21+France!Q$20+Italy!Q$17+Switzerland!Q$12</f>
        <v>2408</v>
      </c>
      <c r="R26" s="37">
        <f>France!R$21+France!R$20+Italy!R$17+Switzerland!R$12</f>
        <v>3159.0555630339113</v>
      </c>
      <c r="S26" s="37">
        <f>France!S$21+France!S$20+Italy!S$17+Switzerland!S$12</f>
        <v>1533</v>
      </c>
      <c r="T26" s="37">
        <f>Italy!T$17+Switzerland!T$12</f>
        <v>841</v>
      </c>
      <c r="U26" s="65">
        <f>Italy!U$17+Switzerland!U$12</f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5">
      <c r="A27" s="39" t="s">
        <v>91</v>
      </c>
      <c r="B27" s="46">
        <f t="shared" si="0"/>
        <v>-0.37562437562437562</v>
      </c>
      <c r="C27" s="73">
        <v>-10006</v>
      </c>
      <c r="D27" s="37">
        <v>-12082</v>
      </c>
      <c r="E27" s="42">
        <f>'Czech Republic'!E$9+Germany!E$17+Poland!E$15</f>
        <v>5000</v>
      </c>
      <c r="F27" s="37">
        <f>'Czech Republic'!F$9+Germany!F$17+Poland!F$15</f>
        <v>8008</v>
      </c>
      <c r="G27" s="37">
        <f>'Czech Republic'!G$9+Germany!G$17+Poland!G$15</f>
        <v>15008</v>
      </c>
      <c r="H27" s="37">
        <f>'Czech Republic'!H$9+Germany!H$17+Poland!H$15</f>
        <v>20140</v>
      </c>
      <c r="I27" s="37">
        <f>'Czech Republic'!I$9+Germany!I$17+Poland!I$15</f>
        <v>15319</v>
      </c>
      <c r="J27" s="37">
        <f>'Czech Republic'!J$9+Germany!J$17+Poland!J$15</f>
        <v>5000</v>
      </c>
      <c r="K27" s="37">
        <f>'Czech Republic'!K$9+Germany!K$17+Poland!K$15</f>
        <v>45237</v>
      </c>
      <c r="L27" s="37">
        <f>'Czech Republic'!L$9+Germany!L$17+Poland!L$15</f>
        <v>5000</v>
      </c>
      <c r="M27" s="37">
        <f>'Czech Republic'!M$9+Germany!M$17+Poland!M$15</f>
        <v>10002</v>
      </c>
      <c r="N27" s="37">
        <f>'Czech Republic'!N$9+Germany!N$17+Poland!N$15</f>
        <v>10085</v>
      </c>
      <c r="O27" s="37">
        <f>'Czech Republic'!O$9+Germany!O$17+Poland!O$15</f>
        <v>10135</v>
      </c>
      <c r="P27" s="37">
        <f>'Czech Republic'!P$9+Germany!P$17+Poland!P$15</f>
        <v>7000</v>
      </c>
      <c r="Q27" s="37">
        <f>'Czech Republic'!Q$9+Germany!Q$17+Poland!Q$15</f>
        <v>4001</v>
      </c>
      <c r="R27" s="37">
        <f>'Czech Republic'!R$9+Germany!R$17+Poland!R$15</f>
        <v>3000</v>
      </c>
      <c r="S27" s="37">
        <f>'Czech Republic'!S$9+Germany!S$17+Poland!S$15</f>
        <v>1000</v>
      </c>
      <c r="T27" s="37">
        <f>'Czech Republic'!T$9+Germany!T$17+Poland!T$15</f>
        <v>2000</v>
      </c>
      <c r="U27" s="65">
        <f>'Czech Republic'!U$9+Germany!U$17+Poland!U$15</f>
        <v>30</v>
      </c>
    </row>
    <row r="28" spans="1:107" x14ac:dyDescent="0.25">
      <c r="A28" s="39" t="s">
        <v>21</v>
      </c>
      <c r="B28" s="46" t="str">
        <f t="shared" si="0"/>
        <v/>
      </c>
      <c r="C28" s="73">
        <v>0</v>
      </c>
      <c r="D28" s="37">
        <v>0</v>
      </c>
      <c r="E28" s="42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0</v>
      </c>
      <c r="J28" s="37">
        <f>Italy!J$18</f>
        <v>0</v>
      </c>
      <c r="K28" s="37">
        <f>Italy!K$18</f>
        <v>300</v>
      </c>
      <c r="L28" s="37">
        <f>Italy!L$18</f>
        <v>9</v>
      </c>
      <c r="M28" s="37">
        <f>Italy!M$18</f>
        <v>1179</v>
      </c>
      <c r="N28" s="37">
        <f>Italy!N$18</f>
        <v>2813</v>
      </c>
      <c r="O28" s="37">
        <f>Italy!O$18</f>
        <v>1884</v>
      </c>
      <c r="P28" s="37">
        <f>Italy!P$18</f>
        <v>1796</v>
      </c>
      <c r="Q28" s="37">
        <f>Italy!Q$18</f>
        <v>0</v>
      </c>
      <c r="R28" s="37">
        <f>Italy!R$18</f>
        <v>1708.924669945638</v>
      </c>
      <c r="S28" s="37">
        <f>Italy!S$18</f>
        <v>2090.1548317636962</v>
      </c>
      <c r="T28" s="37">
        <f>Italy!T$18</f>
        <v>279.79000000000002</v>
      </c>
      <c r="U28" s="65">
        <f>Italy!U$18</f>
        <v>1268</v>
      </c>
    </row>
    <row r="29" spans="1:107" x14ac:dyDescent="0.25">
      <c r="A29" s="39" t="s">
        <v>35</v>
      </c>
      <c r="B29" s="46" t="str">
        <f t="shared" si="0"/>
        <v/>
      </c>
      <c r="C29" s="73">
        <v>-1171</v>
      </c>
      <c r="D29" s="37">
        <v>0</v>
      </c>
      <c r="E29" s="42">
        <f>'Czech Republic'!E$10+UK!E$9+Poland!E$16+Denmark!E$17</f>
        <v>0</v>
      </c>
      <c r="F29" s="37">
        <f>'Czech Republic'!F$10+UK!F$9+Poland!F$16+Denmark!F$17</f>
        <v>0</v>
      </c>
      <c r="G29" s="37">
        <f>'Czech Republic'!G$10+UK!G$9+Poland!G$16+Denmark!G$17</f>
        <v>0</v>
      </c>
      <c r="H29" s="37">
        <f>'Czech Republic'!H$10+UK!H$9+Poland!H$16+Denmark!H$17</f>
        <v>0</v>
      </c>
      <c r="I29" s="37">
        <f>'Czech Republic'!I$10+UK!I$9+Poland!I$16+Denmark!I$17</f>
        <v>0</v>
      </c>
      <c r="J29" s="37">
        <f>'Czech Republic'!J$10+UK!J$9+Poland!J$16+Denmark!J$17</f>
        <v>0</v>
      </c>
      <c r="K29" s="37">
        <f>'Czech Republic'!K$10+UK!K$9+Poland!K$16+Denmark!K$17</f>
        <v>0</v>
      </c>
      <c r="L29" s="37">
        <f>'Czech Republic'!L$10+UK!L$9+Poland!L$16+Denmark!L$17</f>
        <v>0</v>
      </c>
      <c r="M29" s="37">
        <f>'Czech Republic'!M$10+UK!M$9+Poland!M$16+Denmark!M$17</f>
        <v>0</v>
      </c>
      <c r="N29" s="37">
        <f>'Czech Republic'!N$10+UK!N$9+Poland!N$16+Denmark!N$17</f>
        <v>0</v>
      </c>
      <c r="O29" s="37">
        <f>'Czech Republic'!O$10+UK!O$9+Poland!O$16+Denmark!O$17</f>
        <v>0</v>
      </c>
      <c r="P29" s="37">
        <f>'Czech Republic'!P$10+UK!P$9+Poland!P$16</f>
        <v>0</v>
      </c>
      <c r="Q29" s="37">
        <f>'Czech Republic'!Q$10+UK!Q$9+Poland!Q$16</f>
        <v>0</v>
      </c>
      <c r="R29" s="37">
        <f>'Czech Republic'!R$10+UK!R$9+Poland!R$16</f>
        <v>0</v>
      </c>
      <c r="S29" s="37">
        <f>'Czech Republic'!S$10+UK!S$9+Poland!S$16</f>
        <v>0</v>
      </c>
      <c r="T29" s="37">
        <f>'Czech Republic'!T$10+UK!T$9+Poland!T$16</f>
        <v>0</v>
      </c>
      <c r="U29" s="65">
        <f>'Czech Republic'!U$10+UK!U$9+Poland!U$16</f>
        <v>0</v>
      </c>
    </row>
    <row r="30" spans="1:107" x14ac:dyDescent="0.25">
      <c r="A30" s="39" t="s">
        <v>125</v>
      </c>
      <c r="B30" s="46">
        <f t="shared" si="0"/>
        <v>0.36481822405260728</v>
      </c>
      <c r="C30" s="73">
        <v>-14427.855122997418</v>
      </c>
      <c r="D30" s="37">
        <v>-19289.297157622736</v>
      </c>
      <c r="E30" s="42">
        <f>Austria!E$6+Denmark!E18+France!E$2+France!E$24+France!E$17+France!E$15+France!E$13+Switzerland!E$17+UK!E$10+Germany!E$19+Netherlands!E$6</f>
        <v>27027.343644444445</v>
      </c>
      <c r="F30" s="37">
        <f>Austria!F$6+Denmark!F18+France!F$2+France!F$24+France!F$17+France!F$15+France!F$13+Switzerland!F$17+UK!F$10+Germany!F$19+Netherlands!F$6</f>
        <v>19802.888888888891</v>
      </c>
      <c r="G30" s="37">
        <f>Austria!G$6+Denmark!G18+France!G$2+France!G$24+France!G$17+France!G$15+France!G$13+Switzerland!G$17+UK!G$10+Germany!G$19+Netherlands!G$6</f>
        <v>35385.272727272728</v>
      </c>
      <c r="H30" s="37">
        <f>Austria!H$6+Denmark!H18+France!H$2+France!H$24+France!H$17+France!H$15+France!H$13+Switzerland!H$17+UK!H$10+Germany!H$19+Netherlands!H$6</f>
        <v>31787.681818181816</v>
      </c>
      <c r="I30" s="37">
        <f>Austria!I$6+Denmark!I18+France!I$2+France!I$24+France!I$17+France!I$15+France!I$13+Switzerland!I$17+UK!I$10+Germany!I$19+Netherlands!I$6</f>
        <v>22427.55</v>
      </c>
      <c r="J30" s="37">
        <f>Austria!J$6+Denmark!J18+France!J$2+France!J$24+France!J$17+France!J$15+France!J$13+Switzerland!J$17+UK!J$10+Germany!J$19+Netherlands!J$6</f>
        <v>22909.97</v>
      </c>
      <c r="K30" s="37">
        <f>Austria!K$6+Denmark!K18+France!K$2+France!K$24+France!K$17+France!K$15+France!K$13+Switzerland!K$17+UK!K$10+Germany!K$19+Netherlands!K$6</f>
        <v>32890.029600000002</v>
      </c>
      <c r="L30" s="37">
        <f>Austria!L$6+Denmark!L18+France!L$2+France!L$24+France!L$17+France!L$15+France!L$13+Switzerland!L$17+UK!L$10+Germany!L$19+Netherlands!L$6</f>
        <v>3412</v>
      </c>
      <c r="M30" s="37">
        <f>Austria!M$6+Denmark!M18+France!M$2+France!M$24+France!M$17+France!M$15+France!M$13+Switzerland!M$17+UK!M$10+Germany!M$19+Netherlands!M$6</f>
        <v>24717</v>
      </c>
      <c r="N30" s="37">
        <f>Austria!N$6+Denmark!N18+France!N$2+France!N$24+France!N$17+France!N$15+France!N$13+Switzerland!N$17+UK!N$10+Germany!N$19+Netherlands!N$6</f>
        <v>21437</v>
      </c>
      <c r="O30" s="37">
        <f>Austria!O$6+Denmark!O18+France!O$2+France!O$24+France!O$17+France!O$15+France!O$13+Switzerland!O$17+UK!O$10+Germany!O$19+Netherlands!O$6</f>
        <v>23002</v>
      </c>
      <c r="P30" s="37">
        <f>Austria!P$6+Denmark!P18+France!P$2+France!P$24+France!P$17+France!P$15+France!P$13+Switzerland!P$17+UK!P$10+Germany!P$19+Netherlands!P$6</f>
        <v>12774</v>
      </c>
      <c r="Q30" s="37">
        <f>Austria!Q$6+Denmark!Q18+France!Q$2+France!Q$24+France!Q$17+France!Q$15+France!Q$13+Switzerland!Q$17+UK!Q$10+Germany!Q$19+Netherlands!Q$6</f>
        <v>4272</v>
      </c>
      <c r="R30" s="37">
        <f>Austria!R$6+Denmark!R18+France!R$2+France!R$24+France!R$17+France!R$15+France!R$13+Switzerland!R$17+UK!R$10+Germany!R$19+Netherlands!R$6</f>
        <v>6379</v>
      </c>
      <c r="S30" s="37">
        <f>Austria!S$6+Denmark!S18+France!S$2+France!S$24+France!S$17+France!S$15+France!S$13+Switzerland!S$17+UK!S$10+Germany!S$19+Netherlands!S$6</f>
        <v>3517</v>
      </c>
      <c r="T30" s="37">
        <f>Austria!T$6+Denmark!T18+France!T$2+France!T$24+France!T$17+France!T$15+France!T$13+Switzerland!T$17+UK!T$10+Germany!T$19+Netherlands!T$6</f>
        <v>5849</v>
      </c>
      <c r="U30" s="65">
        <f>Austria!U$6+Denmark!U18+France!U$2+France!U$24+France!U$17+France!U$15+France!U$13+Switzerland!U$17+UK!U$10+Germany!U$19+Netherlands!U$6</f>
        <v>699</v>
      </c>
    </row>
    <row r="31" spans="1:107" ht="13.8" thickBot="1" x14ac:dyDescent="0.3">
      <c r="A31" s="39" t="s">
        <v>6</v>
      </c>
      <c r="B31" s="46">
        <f t="shared" si="0"/>
        <v>1.9500936784708614E-2</v>
      </c>
      <c r="C31" s="73">
        <v>-80456.004893161444</v>
      </c>
      <c r="D31" s="37">
        <v>-77374.79332906194</v>
      </c>
      <c r="E31" s="42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91369.713072108832</v>
      </c>
      <c r="F31" s="36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89622.000113378686</v>
      </c>
      <c r="G31" s="36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73965.178849721706</v>
      </c>
      <c r="H31" s="36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72084.233766233767</v>
      </c>
      <c r="I31" s="36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78612.2</v>
      </c>
      <c r="J31" s="36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26844</v>
      </c>
      <c r="K31" s="36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86071.737999999998</v>
      </c>
      <c r="L31" s="36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16955</v>
      </c>
      <c r="M31" s="36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49476</v>
      </c>
      <c r="N31" s="36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54726</v>
      </c>
      <c r="O31" s="36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32265.3</v>
      </c>
      <c r="P31" s="36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55190</v>
      </c>
      <c r="Q31" s="36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18840</v>
      </c>
      <c r="R31" s="36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31799.029842091637</v>
      </c>
      <c r="S31" s="36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33516.323401182162</v>
      </c>
      <c r="T31" s="36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$10+Poland!T$17</f>
        <v>30695</v>
      </c>
      <c r="U31" s="66">
        <f>Austria!U$2+Austria!U$15+Austria!U$18+Austria!U$19+Austria!U$20+Belgium!U$9+'Czech Republic'!U$11+Denmark!U$3+Denmark!U$15+Denmark!U$12+Denmark!U$19+Germany!U$12+Germany!U$18+Germany!U$20+Italy!U$19+Spain!U$7+Switzerland!U$7+Switzerland!U$13+Switzerland!U$15+Switzerland!U$16+Switzerland!U$18+Netherlands!U$7+UK!U$11+France!U$3+France!U$7+France!U$22+France!U$23+France!U$25+Poland!U$10+Poland!U$17</f>
        <v>21857</v>
      </c>
      <c r="W31" s="3"/>
    </row>
    <row r="32" spans="1:107" ht="13.8" thickBot="1" x14ac:dyDescent="0.3">
      <c r="A32" s="38" t="s">
        <v>94</v>
      </c>
      <c r="B32" s="128">
        <f t="shared" si="0"/>
        <v>-9.8743466301034422E-2</v>
      </c>
      <c r="C32" s="70">
        <v>-522454.64044808748</v>
      </c>
      <c r="D32" s="45">
        <v>-526206.90379204252</v>
      </c>
      <c r="E32" s="44">
        <f t="shared" ref="E32:F32" si="1">SUM(E2:E31)</f>
        <v>677364.21000765252</v>
      </c>
      <c r="F32" s="33">
        <f t="shared" si="1"/>
        <v>751577.58604821749</v>
      </c>
      <c r="G32" s="33">
        <f t="shared" ref="G32" si="2">SUM(G2:G31)</f>
        <v>702201.41165906866</v>
      </c>
      <c r="H32" s="33">
        <f t="shared" ref="H32:N32" si="3">SUM(H2:H31)</f>
        <v>927860.51511139132</v>
      </c>
      <c r="I32" s="33">
        <f t="shared" si="3"/>
        <v>785284.71649888624</v>
      </c>
      <c r="J32" s="33">
        <f t="shared" si="3"/>
        <v>653866.11165723216</v>
      </c>
      <c r="K32" s="33">
        <f t="shared" si="3"/>
        <v>985229.61739999999</v>
      </c>
      <c r="L32" s="33">
        <f t="shared" si="3"/>
        <v>342561.4</v>
      </c>
      <c r="M32" s="45">
        <f t="shared" si="3"/>
        <v>785897</v>
      </c>
      <c r="N32" s="45">
        <f t="shared" si="3"/>
        <v>798024</v>
      </c>
      <c r="O32" s="45">
        <f t="shared" ref="O32:T32" si="4">SUM(O2:O31)</f>
        <v>747455.37442284741</v>
      </c>
      <c r="P32" s="45">
        <f t="shared" si="4"/>
        <v>749011.802363939</v>
      </c>
      <c r="Q32" s="45">
        <f t="shared" si="4"/>
        <v>389690.80878155358</v>
      </c>
      <c r="R32" s="45">
        <f t="shared" si="4"/>
        <v>578224.99999999988</v>
      </c>
      <c r="S32" s="45">
        <f t="shared" si="4"/>
        <v>486505.43082988018</v>
      </c>
      <c r="T32" s="45">
        <f t="shared" si="4"/>
        <v>566472.95999999996</v>
      </c>
      <c r="U32" s="90">
        <f>SUM(U2:U31)</f>
        <v>569929.39999999991</v>
      </c>
    </row>
    <row r="33" spans="1:21" x14ac:dyDescent="0.25">
      <c r="A33" s="51" t="s">
        <v>151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51" customFormat="1" ht="13.8" thickBot="1" x14ac:dyDescent="0.3">
      <c r="A35" s="52" t="s">
        <v>93</v>
      </c>
      <c r="B35" s="118" t="s">
        <v>171</v>
      </c>
      <c r="C35" s="48" t="s">
        <v>172</v>
      </c>
      <c r="D35" s="78" t="s">
        <v>169</v>
      </c>
      <c r="E35" s="104">
        <v>45809</v>
      </c>
      <c r="F35" s="110">
        <v>45444</v>
      </c>
      <c r="G35" s="110">
        <v>45078</v>
      </c>
      <c r="H35" s="110">
        <v>44713</v>
      </c>
      <c r="I35" s="110">
        <v>44348</v>
      </c>
      <c r="J35" s="110">
        <v>43983</v>
      </c>
      <c r="K35" s="110">
        <v>43617</v>
      </c>
      <c r="L35" s="110">
        <v>43252</v>
      </c>
      <c r="M35" s="24">
        <v>42887</v>
      </c>
      <c r="N35" s="24">
        <v>42156</v>
      </c>
      <c r="O35" s="24">
        <v>41791</v>
      </c>
      <c r="P35" s="24">
        <v>41426</v>
      </c>
      <c r="Q35" s="24">
        <v>41061</v>
      </c>
      <c r="R35" s="24">
        <v>40695</v>
      </c>
      <c r="S35" s="24">
        <v>40330</v>
      </c>
      <c r="T35" s="24">
        <v>39965</v>
      </c>
      <c r="U35" s="25">
        <v>39965</v>
      </c>
    </row>
    <row r="36" spans="1:21" s="51" customFormat="1" x14ac:dyDescent="0.25">
      <c r="A36" s="91" t="s">
        <v>105</v>
      </c>
      <c r="B36" s="92" t="str">
        <f t="shared" ref="B36:B44" si="5">IFERROR(((E36-F36)/F36),"")</f>
        <v/>
      </c>
      <c r="C36" s="129">
        <v>0</v>
      </c>
      <c r="D36" s="93">
        <v>0</v>
      </c>
      <c r="E36" s="111">
        <f>Italy!E$24</f>
        <v>0</v>
      </c>
      <c r="F36" s="93">
        <f>Italy!F$24</f>
        <v>0</v>
      </c>
      <c r="G36" s="93">
        <f>Italy!G$24</f>
        <v>0</v>
      </c>
      <c r="H36" s="93">
        <f>Italy!H$24</f>
        <v>0</v>
      </c>
      <c r="I36" s="93">
        <f>Italy!I$24</f>
        <v>17.267623471981821</v>
      </c>
      <c r="J36" s="93">
        <f>Italy!J$24</f>
        <v>0</v>
      </c>
      <c r="K36" s="93">
        <f>Italy!K$24</f>
        <v>0</v>
      </c>
      <c r="L36" s="56">
        <f>Italy!L$24</f>
        <v>1652.8426879974199</v>
      </c>
      <c r="M36" s="37">
        <f>Italy!M$24</f>
        <v>0</v>
      </c>
      <c r="N36" s="93">
        <f>Italy!N$24</f>
        <v>54.162592707646056</v>
      </c>
      <c r="O36" s="93">
        <f>Italy!O$24</f>
        <v>0</v>
      </c>
      <c r="P36" s="93">
        <f>Italy!P$24</f>
        <v>0</v>
      </c>
      <c r="Q36" s="93">
        <f>Italy!Q$24</f>
        <v>0</v>
      </c>
      <c r="R36" s="93">
        <f>Italy!R$24</f>
        <v>0</v>
      </c>
      <c r="S36" s="93">
        <f>Italy!S$24</f>
        <v>0</v>
      </c>
      <c r="T36" s="93">
        <f>Italy!T$24</f>
        <v>0</v>
      </c>
      <c r="U36" s="94">
        <f>Italy!U$24</f>
        <v>0</v>
      </c>
    </row>
    <row r="37" spans="1:21" s="51" customFormat="1" x14ac:dyDescent="0.25">
      <c r="A37" s="53" t="s">
        <v>39</v>
      </c>
      <c r="B37" s="54">
        <f t="shared" si="5"/>
        <v>-1</v>
      </c>
      <c r="C37" s="130">
        <v>-59</v>
      </c>
      <c r="D37" s="56">
        <v>-71</v>
      </c>
      <c r="E37" s="55">
        <f>Spain!E$12</f>
        <v>0</v>
      </c>
      <c r="F37" s="56">
        <f>Spain!F$12</f>
        <v>35</v>
      </c>
      <c r="G37" s="56">
        <f>Spain!G$12</f>
        <v>23.299724769394437</v>
      </c>
      <c r="H37" s="56">
        <f>Spain!H$12</f>
        <v>39.586148203895739</v>
      </c>
      <c r="I37" s="56">
        <f>Spain!I$12</f>
        <v>143.0318905822817</v>
      </c>
      <c r="J37" s="56">
        <f>Spain!J$12</f>
        <v>150</v>
      </c>
      <c r="K37" s="56">
        <f>Spain!K$12</f>
        <v>29</v>
      </c>
      <c r="L37" s="56">
        <f>Spain!L$12</f>
        <v>104</v>
      </c>
      <c r="M37" s="37">
        <f>Spain!M$12</f>
        <v>216</v>
      </c>
      <c r="N37" s="56">
        <f>Spain!N$12</f>
        <v>16</v>
      </c>
      <c r="O37" s="56">
        <f>Spain!O$12</f>
        <v>2.232572705623324</v>
      </c>
      <c r="P37" s="56">
        <f>Spain!P$12</f>
        <v>230.77298407576129</v>
      </c>
      <c r="Q37" s="56">
        <f>Spain!Q$12</f>
        <v>0</v>
      </c>
      <c r="R37" s="56">
        <f>Spain!R$12</f>
        <v>690</v>
      </c>
      <c r="S37" s="56">
        <f>Spain!S$12</f>
        <v>73.14487868118259</v>
      </c>
      <c r="T37" s="56">
        <f>Spain!T$12</f>
        <v>137</v>
      </c>
      <c r="U37" s="67">
        <f>Spain!U$12</f>
        <v>4</v>
      </c>
    </row>
    <row r="38" spans="1:21" s="51" customFormat="1" x14ac:dyDescent="0.25">
      <c r="A38" s="53" t="s">
        <v>40</v>
      </c>
      <c r="B38" s="54" t="str">
        <f t="shared" si="5"/>
        <v/>
      </c>
      <c r="C38" s="130">
        <v>-440</v>
      </c>
      <c r="D38" s="56">
        <v>-12</v>
      </c>
      <c r="E38" s="55">
        <f>Spain!E$13</f>
        <v>40</v>
      </c>
      <c r="F38" s="56">
        <f>Spain!F$13</f>
        <v>0</v>
      </c>
      <c r="G38" s="56">
        <f>Spain!G$13</f>
        <v>97.555947609454506</v>
      </c>
      <c r="H38" s="56">
        <f>Spain!H$13</f>
        <v>7.9172296407791478</v>
      </c>
      <c r="I38" s="56">
        <f>Spain!I$13</f>
        <v>569.31197393183766</v>
      </c>
      <c r="J38" s="56">
        <f>Spain!J$13</f>
        <v>71</v>
      </c>
      <c r="K38" s="56">
        <f>Spain!K$13</f>
        <v>66</v>
      </c>
      <c r="L38" s="56">
        <f>Spain!L$13</f>
        <v>105</v>
      </c>
      <c r="M38" s="37">
        <f>Spain!M$13</f>
        <v>0</v>
      </c>
      <c r="N38" s="56">
        <f>Spain!N$13</f>
        <v>71</v>
      </c>
      <c r="O38" s="56">
        <f>Spain!O$13</f>
        <v>28.186230408494467</v>
      </c>
      <c r="P38" s="56">
        <f>Spain!P$13</f>
        <v>303.71684097631208</v>
      </c>
      <c r="Q38" s="56">
        <f>Spain!Q$13</f>
        <v>5.5267778815653843</v>
      </c>
      <c r="R38" s="56">
        <f>Spain!R$13</f>
        <v>188</v>
      </c>
      <c r="S38" s="56">
        <f>Spain!S$13</f>
        <v>405.40028112233256</v>
      </c>
      <c r="T38" s="56">
        <f>Spain!T$13</f>
        <v>534</v>
      </c>
      <c r="U38" s="67">
        <f>Spain!U$13</f>
        <v>0</v>
      </c>
    </row>
    <row r="39" spans="1:21" s="51" customFormat="1" x14ac:dyDescent="0.25">
      <c r="A39" s="53" t="s">
        <v>7</v>
      </c>
      <c r="B39" s="54">
        <f t="shared" si="5"/>
        <v>-0.3147519226535534</v>
      </c>
      <c r="C39" s="130">
        <v>-35147.527634847538</v>
      </c>
      <c r="D39" s="56">
        <v>-39773.338227025801</v>
      </c>
      <c r="E39" s="55">
        <f>Belgium!E$15+Denmark!E$24+Italy!E$25+Poland!E$22+Spain!E$14+Switzerland!E$24+Netherlands!E$12+UK!E$16+'Czech Republic'!E$16+France!E$32</f>
        <v>48432.210299999999</v>
      </c>
      <c r="F39" s="56">
        <f>Belgium!F$15+Denmark!F$24+Italy!F$25+Poland!F$22+Spain!F$14+Switzerland!F$24+Netherlands!F$12+UK!F$16+'Czech Republic'!F$16+France!F$32</f>
        <v>70678.36</v>
      </c>
      <c r="G39" s="56">
        <f>Belgium!G$15+Denmark!G$24+Italy!G$25+Poland!G$22+Spain!G$14+Switzerland!G$24+Netherlands!G$12+UK!G$16+'Czech Republic'!G$16+France!G$32</f>
        <v>53739.454604813611</v>
      </c>
      <c r="H39" s="56">
        <f>Belgium!H$15+Denmark!H$24+Italy!H$25+Poland!H$22+Spain!H$14+Switzerland!H$24+Netherlands!H$12+UK!H$16+'Czech Republic'!H$16+France!H$32</f>
        <v>55822.410735735801</v>
      </c>
      <c r="I39" s="56">
        <f>Belgium!I$15+Denmark!I$24+Italy!I$25+Poland!I$22+Spain!I$14+Switzerland!I$24+Netherlands!I$12+UK!I$16+'Czech Republic'!I$16+France!I$32</f>
        <v>59958.010565537661</v>
      </c>
      <c r="J39" s="56">
        <f>Belgium!J$15+Denmark!J$24+Italy!J$25+Poland!J$22+Spain!J$14+Switzerland!J$24+Netherlands!J$12+UK!J$16+'Czech Republic'!J$16+France!J$32</f>
        <v>40359</v>
      </c>
      <c r="K39" s="56">
        <f>Belgium!K$15+Denmark!K$24+Italy!K$25+Poland!K$22+Spain!K$14+Switzerland!K$24+Netherlands!K$12+UK!K$16+'Czech Republic'!K$16+France!K$32</f>
        <v>59523.695200000002</v>
      </c>
      <c r="L39" s="56">
        <f>Belgium!L$15+Denmark!L$24+Italy!L$25+Poland!L$22+Spain!L$14+Switzerland!L$24+Netherlands!L$12+UK!L$16+'Czech Republic'!L$16+France!L$32</f>
        <v>47481.7809362306</v>
      </c>
      <c r="M39" s="37">
        <f>Belgium!M$15+Denmark!M$24+Italy!M$25+Poland!M$22+Spain!M$14+Switzerland!M$24+Netherlands!M$12+UK!M$16+'Czech Republic'!M$16+France!M$32</f>
        <v>46413</v>
      </c>
      <c r="N39" s="56">
        <f>Belgium!N$15+Denmark!N$24+Italy!N$25+Poland!N$22+Spain!N$14+Switzerland!N$24+Netherlands!N$12+UK!N$16+'Czech Republic'!N$16+France!N$32</f>
        <v>65783.711504646344</v>
      </c>
      <c r="O39" s="56">
        <f>Belgium!O$15+Denmark!O$24+Italy!O$25+Poland!O$22+Spain!O$14+Switzerland!O$24+Netherlands!O$12+UK!O$16+'Czech Republic'!O$16+France!O$32</f>
        <v>45624.021126735519</v>
      </c>
      <c r="P39" s="56">
        <f>Belgium!P$15+Denmark!P$24+Italy!P$25+Poland!P$22+Spain!P$14+Switzerland!P$24+Netherlands!P$12+UK!P$16+'Czech Republic'!P$16+France!P$32</f>
        <v>35700.879162949423</v>
      </c>
      <c r="Q39" s="56">
        <f>Belgium!Q$15+Denmark!Q$24+Italy!Q$25+Poland!Q$22+Spain!Q$14+Switzerland!Q$24+Netherlands!Q$12+UK!Q$16+'Czech Republic'!Q$16+France!Q$32</f>
        <v>15996.834794453656</v>
      </c>
      <c r="R39" s="56">
        <f>Belgium!R$15+Denmark!R$24+Italy!R$25+Poland!R$22+Spain!R$14+Switzerland!R$24+Netherlands!R$12+UK!R$16+'Czech Republic'!R$16+France!R$32</f>
        <v>41577</v>
      </c>
      <c r="S39" s="56">
        <f>Belgium!S$15+Denmark!S$24+Italy!S$25+Poland!S$22+Spain!S$14+Switzerland!S$24+Netherlands!S$12+UK!S$16+'Czech Republic'!S$16+France!S$33</f>
        <v>41231</v>
      </c>
      <c r="T39" s="56">
        <f>Belgium!T$15+Denmark!T$24+Italy!T$25+Poland!T$22+Spain!T$14+Switzerland!T$24+Netherlands!T$12+UK!T$16+'Czech Republic'!T$16</f>
        <v>36952</v>
      </c>
      <c r="U39" s="67">
        <f>Belgium!U$15+Denmark!U$24+Italy!U$25+Poland!U$22+Spain!U$14+Switzerland!U$24+Netherlands!U$12+UK!U$16+'Czech Republic'!U$16</f>
        <v>18999</v>
      </c>
    </row>
    <row r="40" spans="1:21" s="51" customFormat="1" x14ac:dyDescent="0.25">
      <c r="A40" s="53" t="s">
        <v>95</v>
      </c>
      <c r="B40" s="54">
        <f t="shared" si="5"/>
        <v>6.8510333333333335</v>
      </c>
      <c r="C40" s="130">
        <v>-298.00310000000002</v>
      </c>
      <c r="D40" s="56">
        <v>0</v>
      </c>
      <c r="E40" s="55">
        <f>Belgium!E$16+Italy!E$26+Poland!E$23+Netherlands!E$13+UK!E$17+France!E$33+Denmark!E$25</f>
        <v>23.553100000000001</v>
      </c>
      <c r="F40" s="56">
        <f>Belgium!F$16+Italy!F$26+Poland!F$23+Netherlands!F$13+UK!F$17+France!F$33+Denmark!F$25</f>
        <v>3</v>
      </c>
      <c r="G40" s="56">
        <f>Belgium!G$16+Italy!G$26+Poland!G$23+Netherlands!G$13+UK!G$17+France!G$33+Denmark!G$25</f>
        <v>10</v>
      </c>
      <c r="H40" s="56">
        <f>Belgium!H$16+Italy!H$26+Poland!H$23+Netherlands!H$13+UK!H$17+France!H$33+Denmark!H$25</f>
        <v>0</v>
      </c>
      <c r="I40" s="56">
        <f>Belgium!I$16+Italy!I$26+Poland!I$23+Netherlands!I$13+UK!I$17+France!I$33+Denmark!I$25</f>
        <v>0</v>
      </c>
      <c r="J40" s="56">
        <f>Belgium!J$16+Italy!J$26+Poland!J$23+Netherlands!J$13+UK!J$17+France!J$33+Denmark!J$25</f>
        <v>4</v>
      </c>
      <c r="K40" s="56">
        <f>Belgium!K$16+Italy!K$26+Poland!K$23+Netherlands!K$13+UK!K$17+France!K$33+Denmark!K$25</f>
        <v>12</v>
      </c>
      <c r="L40" s="56">
        <f>Belgium!L$16+Italy!L$26+Poland!L$23+Netherlands!L$13+UK!L$17+France!L$33+Denmark!L$25</f>
        <v>76</v>
      </c>
      <c r="M40" s="37">
        <f>Belgium!M$16+Italy!M$26+Poland!M$23+Netherlands!M$13+UK!M$17+France!M$33+Denmark!M$25</f>
        <v>0</v>
      </c>
      <c r="N40" s="56">
        <f>Belgium!N$16+Italy!N$26+Poland!N$23+Netherlands!N$13+UK!N$17+France!N$33+Denmark!N$25</f>
        <v>58</v>
      </c>
      <c r="O40" s="56">
        <f>Belgium!O$16+Italy!O$26+Poland!O$23+Netherlands!O$13+UK!O$17+France!O$33+Denmark!O$25</f>
        <v>3</v>
      </c>
      <c r="P40" s="56">
        <f>Belgium!P$16+Italy!P$26+Poland!P$23+Netherlands!P$13+UK!P$17+France!P$33+Denmark!P$25</f>
        <v>3</v>
      </c>
      <c r="Q40" s="56">
        <f>Belgium!Q$16+Italy!Q$26+Poland!Q$23+Netherlands!Q$13+UK!Q$17+France!Q$33+Denmark!Q$25</f>
        <v>0</v>
      </c>
      <c r="R40" s="56">
        <f>Belgium!R$16+Italy!R$26+Poland!R$23+Netherlands!R$13+UK!R$17+France!R$33+Denmark!R$25</f>
        <v>0</v>
      </c>
      <c r="S40" s="56">
        <f>Belgium!S$16+Italy!S$26+Poland!S$23+Netherlands!S$13+UK!S$17+France!S$34</f>
        <v>0</v>
      </c>
      <c r="T40" s="56">
        <f>Belgium!T$16+Italy!T$26+Poland!T$23+Netherlands!T$13+UK!T$17</f>
        <v>0</v>
      </c>
      <c r="U40" s="67">
        <f>Belgium!U$16+Italy!U$26+Poland!U$23+Netherlands!U$13+UK!U$17</f>
        <v>0</v>
      </c>
    </row>
    <row r="41" spans="1:21" s="51" customFormat="1" x14ac:dyDescent="0.25">
      <c r="A41" s="53" t="s">
        <v>30</v>
      </c>
      <c r="B41" s="54" t="str">
        <f t="shared" si="5"/>
        <v/>
      </c>
      <c r="C41" s="130">
        <v>0</v>
      </c>
      <c r="D41" s="56">
        <v>0</v>
      </c>
      <c r="E41" s="55">
        <f>Italy!E$27</f>
        <v>0</v>
      </c>
      <c r="F41" s="56">
        <f>Italy!F$27</f>
        <v>0</v>
      </c>
      <c r="G41" s="56">
        <f>Italy!G$27</f>
        <v>0</v>
      </c>
      <c r="H41" s="56">
        <f>Italy!H$27</f>
        <v>0</v>
      </c>
      <c r="I41" s="56">
        <f>Italy!I$27</f>
        <v>144.93385136209295</v>
      </c>
      <c r="J41" s="56">
        <f>Italy!J$27</f>
        <v>0</v>
      </c>
      <c r="K41" s="56">
        <f>Italy!K$27</f>
        <v>0</v>
      </c>
      <c r="L41" s="56">
        <f>Italy!L$27</f>
        <v>873.41978881612681</v>
      </c>
      <c r="M41" s="37">
        <f>Italy!M$27</f>
        <v>0</v>
      </c>
      <c r="N41" s="56">
        <f>Italy!N$27</f>
        <v>4.25</v>
      </c>
      <c r="O41" s="56">
        <f>Italy!O$27</f>
        <v>0</v>
      </c>
      <c r="P41" s="56">
        <f>Italy!P$27</f>
        <v>610</v>
      </c>
      <c r="Q41" s="56">
        <f>Italy!Q$27</f>
        <v>0</v>
      </c>
      <c r="R41" s="56">
        <f>Italy!R$27</f>
        <v>0</v>
      </c>
      <c r="S41" s="56">
        <f>Italy!S$27</f>
        <v>0</v>
      </c>
      <c r="T41" s="56">
        <f>Italy!T$27</f>
        <v>0</v>
      </c>
      <c r="U41" s="67">
        <f>Italy!U$27</f>
        <v>0</v>
      </c>
    </row>
    <row r="42" spans="1:21" s="51" customFormat="1" x14ac:dyDescent="0.25">
      <c r="A42" s="53" t="s">
        <v>149</v>
      </c>
      <c r="B42" s="131" t="str">
        <f t="shared" si="5"/>
        <v/>
      </c>
      <c r="C42" s="132">
        <v>-10440</v>
      </c>
      <c r="D42" s="133">
        <v>-6605</v>
      </c>
      <c r="E42" s="134">
        <f>Portugal!E$14</f>
        <v>0</v>
      </c>
      <c r="F42" s="56">
        <f>Portugal!F$14</f>
        <v>0</v>
      </c>
      <c r="G42" s="56">
        <f>Portugal!G$14</f>
        <v>0</v>
      </c>
      <c r="H42" s="56">
        <f>Portugal!H$14</f>
        <v>15329</v>
      </c>
      <c r="I42" s="56">
        <f>Portugal!I$14</f>
        <v>1097</v>
      </c>
      <c r="J42" s="56">
        <f>Portugal!J$14</f>
        <v>3173</v>
      </c>
      <c r="K42" s="56">
        <f>Portugal!K$14</f>
        <v>4925</v>
      </c>
      <c r="L42" s="56"/>
      <c r="M42" s="37"/>
      <c r="N42" s="56"/>
      <c r="O42" s="56"/>
      <c r="P42" s="56"/>
      <c r="Q42" s="56"/>
      <c r="R42" s="56"/>
      <c r="S42" s="56">
        <f>Portugal!T$13</f>
        <v>0</v>
      </c>
      <c r="T42" s="56">
        <f>Portugal!U$13</f>
        <v>0</v>
      </c>
      <c r="U42" s="67">
        <f>Portugal!V$13</f>
        <v>0</v>
      </c>
    </row>
    <row r="43" spans="1:21" s="51" customFormat="1" ht="13.8" thickBot="1" x14ac:dyDescent="0.3">
      <c r="A43" s="57" t="s">
        <v>6</v>
      </c>
      <c r="B43" s="58">
        <f t="shared" si="5"/>
        <v>-0.20419371633752248</v>
      </c>
      <c r="C43" s="135">
        <v>-1589.5238256437769</v>
      </c>
      <c r="D43" s="60">
        <v>-1746</v>
      </c>
      <c r="E43" s="59">
        <f>Belgium!E$19+Belgium!E$17+Denmark!E$26+Germany!E$25+Italy!E$28+Poland!E$24+Spain!E$15+Spain!E$16+Switzerland!E$23+Switzerland!E$25+Switzerland!E$27+Netherlands!E$14+UK!E$18+'Czech Republic'!E$17+'Czech Republic'!E$18+'Czech Republic'!E$19+'Czech Republic'!E$20+France!E$31+France!E$35+France!E$36+France!E$37+France!E$30+Belgium!E$18</f>
        <v>443.26409999999998</v>
      </c>
      <c r="F43" s="60">
        <f>Belgium!F$19+Belgium!F$17+Denmark!F$26+Germany!F$25+Italy!F$28+Poland!F$24+Spain!F$15+Spain!F$16+Switzerland!F$23+Switzerland!F$25+Switzerland!F$27+Netherlands!F$14+UK!F$18+'Czech Republic'!F$17+'Czech Republic'!F$18+'Czech Republic'!F$19+'Czech Republic'!F$20+France!F$31+France!F$35+France!F$36+France!F$37+France!F$30+Belgium!F$18</f>
        <v>557</v>
      </c>
      <c r="G43" s="60">
        <f>Belgium!G$19+Belgium!G$17+Denmark!G$26+Germany!G$25+Italy!G$28+Poland!G$24+Spain!G$15+Spain!G$16+Switzerland!G$23+Switzerland!G$25+Switzerland!G$27+Netherlands!G$14+UK!G$18+'Czech Republic'!G$17+'Czech Republic'!G$18+'Czech Republic'!G$19+'Czech Republic'!G$20+France!G$31+France!G$35+France!G$36+France!G$37+France!G$30+Belgium!G$18</f>
        <v>505</v>
      </c>
      <c r="H43" s="60">
        <f>Belgium!H$19+Belgium!H$17+Denmark!H$26+Germany!H$25+Italy!H$28+Poland!H$24+Spain!H$15+Spain!H$16+Switzerland!H$23+Switzerland!H$25+Switzerland!H$27+Netherlands!H$14+UK!H$18+'Czech Republic'!H$17+'Czech Republic'!H$18+'Czech Republic'!H$19+'Czech Republic'!H$20+France!H$31+France!H$35+France!H$36+France!H$37+France!H$30+Belgium!H$18</f>
        <v>1669.2206804320408</v>
      </c>
      <c r="I43" s="60">
        <f>Belgium!I$19+Belgium!I$17+Denmark!I$26+Germany!I$25+Italy!I$28+Poland!I$24+Spain!I$15+Spain!I$16+Switzerland!I$23+Switzerland!I$25+Switzerland!I$27+Netherlands!I$14+UK!I$18+'Czech Republic'!I$17+'Czech Republic'!I$18+'Czech Republic'!I$19+'Czech Republic'!I$20+France!I$31+France!I$35+France!I$36+France!I$37+France!I$30</f>
        <v>992.55435579228651</v>
      </c>
      <c r="J43" s="60">
        <f>Belgium!J$19+Belgium!J$17+Denmark!J$26+Germany!J$25+Italy!J$28+Poland!J$24+Spain!J$15+Spain!J$16+Switzerland!J$23+Switzerland!J$25+Switzerland!J$27+Netherlands!J$14+UK!J$18+'Czech Republic'!J$17+'Czech Republic'!J$18+'Czech Republic'!J$19+'Czech Republic'!J$20+France!J$31+France!J$35+France!J$36+France!J$37+France!J$30</f>
        <v>702</v>
      </c>
      <c r="K43" s="60">
        <f>Belgium!K$19+Belgium!K$17+Denmark!K$26+Germany!K$25+Italy!K$28+Poland!K$24+Spain!K$15+Spain!K$16+Switzerland!K$23+Switzerland!K$25+Switzerland!K$27+Netherlands!K$14+UK!K$18+'Czech Republic'!K$17+'Czech Republic'!K$18+'Czech Republic'!K$19+'Czech Republic'!K$20+France!K$31+France!K$35+France!K$36+France!K$37+France!K$30</f>
        <v>971.3</v>
      </c>
      <c r="L43" s="60">
        <f>Belgium!L$19+Belgium!L$17+Denmark!L$26+Germany!L$25+Italy!L$28+Poland!L$24+Spain!L$15+Spain!L$16+Switzerland!L$23+Switzerland!L$25+Switzerland!L$27+Netherlands!L$14+UK!L$18+'Czech Republic'!L$17+'Czech Republic'!L$18+'Czech Republic'!L$19+'Czech Republic'!L$20+France!L$31+France!L$35+France!L$36+France!L$37+France!L$30</f>
        <v>302</v>
      </c>
      <c r="M43" s="37">
        <f>Belgium!M$19+Belgium!M$17+Denmark!M$26+Germany!M$25+Italy!M$28+Poland!M$24+Spain!M$15+Spain!M$16+Switzerland!M$23+Switzerland!M$25+Switzerland!M$27+Netherlands!M$14+UK!M$18+'Czech Republic'!M$17+'Czech Republic'!M$18+'Czech Republic'!M$19+'Czech Republic'!M$20+France!M$31+France!M$35+France!M$36+France!M$37+France!M$30</f>
        <v>254</v>
      </c>
      <c r="N43" s="60">
        <f>Belgium!N$19+Belgium!N$17+Denmark!N$26+Germany!N$25+Italy!N$28+Poland!N$24+Spain!N$15+Spain!N$16+Switzerland!N$23+Switzerland!N$25+Switzerland!N$27+Netherlands!N$14+UK!N$18+'Czech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125</v>
      </c>
      <c r="O43" s="60">
        <f>Belgium!O$19+Belgium!O$17+Denmark!O$26+Germany!O$25+Italy!O$28+Poland!O$24+Spain!O$15+Spain!O$16+Switzerland!O$23+Switzerland!O$25+Switzerland!O$27+Netherlands!O$14+UK!O$18+'Czech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288</v>
      </c>
      <c r="P43" s="60">
        <f>Belgium!P$19+Belgium!P$17+Denmark!P$26+Germany!P$25+Italy!P$28+Poland!P$24+Spain!P$15+Spain!P$16+Switzerland!P$23+Switzerland!P$25+Switzerland!P$27+Netherlands!P$14+UK!P$18+'Czech Republic'!P$17+'Czech Republic'!P$18+'Czech Republic'!P$19+'Czech Republic'!P$20+France!P$31+France!P$35+France!P$36+France!P$37+France!P$30</f>
        <v>1165.9351748211484</v>
      </c>
      <c r="Q43" s="60">
        <f>Belgium!Q$19+Belgium!Q$17+Denmark!Q$26+Germany!Q$25+Italy!Q$28+Poland!Q$24+Spain!Q$15+Spain!Q$16+Switzerland!Q$23+Switzerland!Q$25+Switzerland!Q$27+Netherlands!Q$14+UK!Q$18+'Czech Republic'!Q$17+'Czech Republic'!Q$18+'Czech Republic'!Q$19+'Czech Republic'!Q$20+France!Q$31+France!Q$35+France!Q$36+France!Q$37+France!Q$30</f>
        <v>921</v>
      </c>
      <c r="R43" s="60">
        <f>Belgium!R$19+Belgium!R$17+Denmark!R$26+Germany!R$25+Italy!R$28+Poland!R$24+Spain!R$15+Spain!R$16+Switzerland!R$23+Switzerland!R$25+Switzerland!R$27+Netherlands!R$14+UK!R$18+'Czech Republic'!R$17+'Czech Republic'!R$18+'Czech Republic'!R$19+'Czech Republic'!R$20+France!R$31+France!R$35+France!R$36+France!R$37+France!R$30</f>
        <v>560</v>
      </c>
      <c r="S43" s="60">
        <f>Belgium!S$19+Belgium!S$17+Denmark!S$26+Germany!S$25+Italy!S$28+Poland!S$24+Spain!S$15+Spain!S$16+Switzerland!S$23+Switzerland!S$25+Switzerland!S$27+Switzerland!S$28+Netherlands!S$14+UK!S$18+'Czech Republic'!S$17+'Czech Republic'!S$18+'Czech Republic'!S$19+'Czech Republic'!S$20+France!S$31+France!S$35+France!S$36+France!S$37+France!S$30</f>
        <v>261</v>
      </c>
      <c r="T43" s="60">
        <f>Belgium!T$19+Denmark!T$26+Germany!T$25+Italy!T$28+Poland!T$24+Spain!T$15+Spain!T$16+Switzerland!T$23+Switzerland!T$25+Switzerland!T$27+Netherlands!T$14+UK!T$18+'Czech Republic'!T$17+'Czech Republic'!T$20</f>
        <v>209</v>
      </c>
      <c r="U43" s="68">
        <f>Belgium!U$19+Denmark!U$26+Germany!U$25+Italy!U$28+Poland!U$24+Spain!U$15+Spain!U$16+Switzerland!U$23+Switzerland!U$25+Switzerland!U$27+Netherlands!U$14+UK!U$18+'Czech Republic'!U$17+'Czech Republic'!U$20</f>
        <v>93</v>
      </c>
    </row>
    <row r="44" spans="1:21" s="51" customFormat="1" ht="13.8" thickBot="1" x14ac:dyDescent="0.3">
      <c r="A44" s="61" t="s">
        <v>94</v>
      </c>
      <c r="B44" s="88">
        <f t="shared" si="5"/>
        <v>-0.31336157717273333</v>
      </c>
      <c r="C44" s="136">
        <v>-47974.05456049132</v>
      </c>
      <c r="D44" s="98">
        <v>-48207.338227025801</v>
      </c>
      <c r="E44" s="44">
        <f>SUM(E36:E43)</f>
        <v>48939.027499999997</v>
      </c>
      <c r="F44" s="98">
        <f>SUM(F36:F43)</f>
        <v>71273.36</v>
      </c>
      <c r="G44" s="98">
        <f>SUM(G36:G43)</f>
        <v>54375.31027719246</v>
      </c>
      <c r="H44" s="98">
        <f>SUM(H36:H43)</f>
        <v>72868.134794012527</v>
      </c>
      <c r="I44" s="98">
        <f t="shared" ref="I44:N44" si="6">SUM(I36:I43)</f>
        <v>62922.110260678135</v>
      </c>
      <c r="J44" s="98">
        <f t="shared" si="6"/>
        <v>44459</v>
      </c>
      <c r="K44" s="98">
        <f t="shared" si="6"/>
        <v>65526.995200000005</v>
      </c>
      <c r="L44" s="98">
        <f t="shared" si="6"/>
        <v>50595.04341304415</v>
      </c>
      <c r="M44" s="83">
        <f t="shared" si="6"/>
        <v>46883</v>
      </c>
      <c r="N44" s="83">
        <f t="shared" si="6"/>
        <v>66112.124097353997</v>
      </c>
      <c r="O44" s="83">
        <f t="shared" ref="O44:T44" si="7">SUM(O36:O43)</f>
        <v>45945.439929849636</v>
      </c>
      <c r="P44" s="83">
        <f t="shared" si="7"/>
        <v>38014.304162822642</v>
      </c>
      <c r="Q44" s="83">
        <f t="shared" si="7"/>
        <v>16923.36157233522</v>
      </c>
      <c r="R44" s="83">
        <f t="shared" si="7"/>
        <v>43015</v>
      </c>
      <c r="S44" s="83">
        <f t="shared" si="7"/>
        <v>41970.545159803514</v>
      </c>
      <c r="T44" s="83">
        <f t="shared" si="7"/>
        <v>37832</v>
      </c>
      <c r="U44" s="84">
        <f>SUM(U36:U43)</f>
        <v>19096</v>
      </c>
    </row>
    <row r="45" spans="1:21" s="51" customFormat="1" x14ac:dyDescent="0.25">
      <c r="B45" s="3" t="s">
        <v>173</v>
      </c>
    </row>
    <row r="46" spans="1:21" s="51" customFormat="1" x14ac:dyDescent="0.25"/>
    <row r="47" spans="1:21" s="51" customFormat="1" x14ac:dyDescent="0.25">
      <c r="D47" s="56"/>
      <c r="E47" s="56"/>
    </row>
    <row r="48" spans="1:21" x14ac:dyDescent="0.25">
      <c r="D48" s="1"/>
      <c r="M48" s="3"/>
    </row>
    <row r="52" spans="6:6" x14ac:dyDescent="0.25">
      <c r="F52" s="1"/>
    </row>
  </sheetData>
  <phoneticPr fontId="2" type="noConversion"/>
  <conditionalFormatting sqref="E1">
    <cfRule type="expression" dxfId="25" priority="2">
      <formula>ISBLANK(XFD1)=FALSE</formula>
    </cfRule>
  </conditionalFormatting>
  <conditionalFormatting sqref="E35">
    <cfRule type="expression" dxfId="24" priority="1">
      <formula>ISBLANK(XFD35)=FALSE</formula>
    </cfRule>
  </conditionalFormatting>
  <pageMargins left="0.75" right="0.75" top="1" bottom="1" header="0.5" footer="0.5"/>
  <pageSetup paperSize="9" scale="79" fitToHeight="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20" t="s">
        <v>96</v>
      </c>
      <c r="B2" s="26">
        <f t="shared" ref="B2:B21" si="0">IFERROR(((E2-F2)/F2),"")</f>
        <v>-1</v>
      </c>
      <c r="C2" s="49">
        <v>0</v>
      </c>
      <c r="D2" s="1">
        <v>-117.54681253944877</v>
      </c>
      <c r="E2" s="105">
        <v>0</v>
      </c>
      <c r="F2" s="1">
        <v>2.0408163265306123</v>
      </c>
      <c r="G2" s="1">
        <v>370.45454545454544</v>
      </c>
      <c r="H2" s="1">
        <v>34.090909090909093</v>
      </c>
      <c r="I2" s="1">
        <v>13.65</v>
      </c>
      <c r="J2" s="1">
        <v>5.05</v>
      </c>
      <c r="K2" s="37">
        <v>329</v>
      </c>
      <c r="L2" s="1">
        <v>0</v>
      </c>
      <c r="M2" s="1">
        <v>0</v>
      </c>
      <c r="N2" s="1">
        <v>419</v>
      </c>
      <c r="O2" s="1">
        <v>324</v>
      </c>
      <c r="P2" s="1">
        <v>797</v>
      </c>
      <c r="Q2" s="1">
        <v>210</v>
      </c>
      <c r="R2" s="1">
        <v>789</v>
      </c>
      <c r="S2" s="1">
        <v>898</v>
      </c>
      <c r="T2" s="1">
        <v>1149</v>
      </c>
      <c r="U2" s="1">
        <v>2524</v>
      </c>
      <c r="V2" s="1">
        <v>1107</v>
      </c>
      <c r="W2" s="28">
        <v>1146</v>
      </c>
    </row>
    <row r="3" spans="1:23" x14ac:dyDescent="0.25">
      <c r="A3" s="20" t="s">
        <v>4</v>
      </c>
      <c r="B3" s="26" t="str">
        <f t="shared" si="0"/>
        <v/>
      </c>
      <c r="C3" s="49">
        <v>0</v>
      </c>
      <c r="D3" s="1">
        <v>0</v>
      </c>
      <c r="E3" s="105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37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175</v>
      </c>
      <c r="V3" s="1">
        <v>0</v>
      </c>
      <c r="W3" s="28">
        <v>0</v>
      </c>
    </row>
    <row r="4" spans="1:23" x14ac:dyDescent="0.25">
      <c r="A4" s="20" t="s">
        <v>11</v>
      </c>
      <c r="B4" s="26">
        <f t="shared" si="0"/>
        <v>1.8459818933720795</v>
      </c>
      <c r="C4" s="49">
        <v>-613.26864414750162</v>
      </c>
      <c r="D4" s="1">
        <v>-1659.5724174749416</v>
      </c>
      <c r="E4" s="105">
        <v>1154.784580498866</v>
      </c>
      <c r="F4" s="1">
        <v>405.75963718820861</v>
      </c>
      <c r="G4" s="1">
        <v>3236.7115027829313</v>
      </c>
      <c r="H4" s="1">
        <v>1423.2142857142858</v>
      </c>
      <c r="I4" s="1">
        <v>527.79999999999995</v>
      </c>
      <c r="J4" s="1">
        <v>773.51</v>
      </c>
      <c r="K4" s="37">
        <v>4459</v>
      </c>
      <c r="L4" s="1">
        <v>255</v>
      </c>
      <c r="M4" s="1">
        <v>0</v>
      </c>
      <c r="N4" s="1">
        <v>741</v>
      </c>
      <c r="O4" s="1">
        <v>248</v>
      </c>
      <c r="P4" s="1">
        <v>536</v>
      </c>
      <c r="Q4" s="1">
        <v>29</v>
      </c>
      <c r="R4" s="1">
        <v>175</v>
      </c>
      <c r="S4" s="1">
        <v>0</v>
      </c>
      <c r="T4" s="1">
        <v>223</v>
      </c>
      <c r="U4" s="1">
        <v>0</v>
      </c>
      <c r="V4" s="1">
        <v>0</v>
      </c>
      <c r="W4" s="28">
        <v>2</v>
      </c>
    </row>
    <row r="5" spans="1:23" x14ac:dyDescent="0.25">
      <c r="A5" s="20" t="s">
        <v>2</v>
      </c>
      <c r="B5" s="26">
        <f t="shared" si="0"/>
        <v>-1</v>
      </c>
      <c r="C5" s="49">
        <v>0</v>
      </c>
      <c r="D5" s="1">
        <v>-257.23514211886305</v>
      </c>
      <c r="E5" s="105">
        <v>0</v>
      </c>
      <c r="F5" s="1">
        <v>5.5555555555555554</v>
      </c>
      <c r="G5" s="1">
        <v>535.22727272727275</v>
      </c>
      <c r="H5" s="1">
        <v>0</v>
      </c>
      <c r="I5" s="1">
        <v>0</v>
      </c>
      <c r="J5" s="1">
        <v>0</v>
      </c>
      <c r="K5" s="37">
        <v>858</v>
      </c>
      <c r="L5" s="1">
        <v>0</v>
      </c>
      <c r="M5" s="1">
        <v>0</v>
      </c>
      <c r="N5" s="1">
        <v>5</v>
      </c>
      <c r="O5" s="1">
        <v>64</v>
      </c>
      <c r="P5" s="1">
        <v>28</v>
      </c>
      <c r="Q5" s="1">
        <v>0</v>
      </c>
      <c r="R5" s="1">
        <v>102</v>
      </c>
      <c r="S5" s="1">
        <v>73</v>
      </c>
      <c r="T5" s="1">
        <v>60</v>
      </c>
      <c r="U5" s="1">
        <v>61</v>
      </c>
      <c r="V5" s="1">
        <v>7</v>
      </c>
      <c r="W5" s="28">
        <v>247</v>
      </c>
    </row>
    <row r="6" spans="1:23" x14ac:dyDescent="0.25">
      <c r="A6" s="20" t="s">
        <v>154</v>
      </c>
      <c r="B6" s="26">
        <f t="shared" si="0"/>
        <v>-0.81441048034934493</v>
      </c>
      <c r="C6" s="49">
        <v>-934.62532299741599</v>
      </c>
      <c r="D6" s="1">
        <v>-1185.297157622739</v>
      </c>
      <c r="E6" s="105">
        <v>94.444444444444443</v>
      </c>
      <c r="F6" s="1">
        <v>508.88888888888891</v>
      </c>
      <c r="G6" s="1">
        <v>3052.272727272727</v>
      </c>
      <c r="H6" s="1">
        <v>855.68181818181824</v>
      </c>
      <c r="I6" s="1">
        <v>2807.5499999999997</v>
      </c>
      <c r="J6" s="1">
        <v>530.97</v>
      </c>
      <c r="K6" s="37">
        <v>4481</v>
      </c>
      <c r="L6" s="1">
        <v>152</v>
      </c>
      <c r="M6" s="1">
        <v>128</v>
      </c>
      <c r="N6" s="1">
        <v>2040</v>
      </c>
      <c r="O6" s="1">
        <v>2421</v>
      </c>
      <c r="P6" s="1">
        <v>1409</v>
      </c>
      <c r="Q6" s="1">
        <v>275</v>
      </c>
      <c r="R6" s="1">
        <v>346</v>
      </c>
      <c r="S6" s="1"/>
      <c r="T6" s="1"/>
      <c r="U6" s="1"/>
      <c r="V6" s="1"/>
      <c r="W6" s="28"/>
    </row>
    <row r="7" spans="1:23" x14ac:dyDescent="0.25">
      <c r="A7" s="20" t="s">
        <v>12</v>
      </c>
      <c r="B7" s="26">
        <f t="shared" si="0"/>
        <v>-0.11407766990291264</v>
      </c>
      <c r="C7" s="49">
        <v>-257.4935400516797</v>
      </c>
      <c r="D7" s="1">
        <v>-329.7932816537467</v>
      </c>
      <c r="E7" s="105">
        <v>811.11111111111109</v>
      </c>
      <c r="F7" s="1">
        <v>915.55555555555554</v>
      </c>
      <c r="G7" s="1">
        <v>901.13636363636363</v>
      </c>
      <c r="H7" s="1">
        <v>584.09090909090912</v>
      </c>
      <c r="I7" s="1">
        <v>152.1</v>
      </c>
      <c r="J7" s="1">
        <v>402.99</v>
      </c>
      <c r="K7" s="37">
        <v>1769</v>
      </c>
      <c r="L7" s="1">
        <v>197</v>
      </c>
      <c r="M7" s="79">
        <v>0</v>
      </c>
      <c r="N7" s="79">
        <v>304</v>
      </c>
      <c r="O7" s="79">
        <v>618</v>
      </c>
      <c r="P7" s="79">
        <v>679</v>
      </c>
      <c r="Q7" s="79">
        <v>26</v>
      </c>
      <c r="R7" s="79">
        <v>278</v>
      </c>
      <c r="S7" s="79">
        <v>17</v>
      </c>
      <c r="T7" s="79">
        <v>214</v>
      </c>
      <c r="U7" s="79">
        <v>192</v>
      </c>
      <c r="V7" s="1">
        <v>249</v>
      </c>
      <c r="W7" s="28">
        <v>3</v>
      </c>
    </row>
    <row r="8" spans="1:23" x14ac:dyDescent="0.25">
      <c r="A8" s="20" t="s">
        <v>9</v>
      </c>
      <c r="B8" s="26">
        <f t="shared" si="0"/>
        <v>-0.84357128537843307</v>
      </c>
      <c r="C8" s="49">
        <v>-1267.1754327879953</v>
      </c>
      <c r="D8" s="1">
        <v>-4115.0604731623334</v>
      </c>
      <c r="E8" s="105">
        <v>973.17460317460325</v>
      </c>
      <c r="F8" s="1">
        <v>6221.2018140589571</v>
      </c>
      <c r="G8" s="1">
        <v>6903.8265306122448</v>
      </c>
      <c r="H8" s="1">
        <v>6299.6057513914657</v>
      </c>
      <c r="I8" s="1">
        <v>4821.8500000000004</v>
      </c>
      <c r="J8" s="1">
        <v>1817.73</v>
      </c>
      <c r="K8" s="37">
        <v>4368</v>
      </c>
      <c r="L8" s="1">
        <v>1184</v>
      </c>
      <c r="M8" s="1">
        <v>0</v>
      </c>
      <c r="N8" s="1">
        <v>1917</v>
      </c>
      <c r="O8" s="1">
        <v>2524</v>
      </c>
      <c r="P8" s="1">
        <v>4390</v>
      </c>
      <c r="Q8" s="1">
        <v>76</v>
      </c>
      <c r="R8" s="1">
        <v>650</v>
      </c>
      <c r="S8" s="1">
        <v>4470</v>
      </c>
      <c r="T8" s="1">
        <v>1306</v>
      </c>
      <c r="U8" s="1">
        <v>5087</v>
      </c>
      <c r="V8" s="1">
        <v>129</v>
      </c>
      <c r="W8" s="28">
        <v>314</v>
      </c>
    </row>
    <row r="9" spans="1:23" x14ac:dyDescent="0.25">
      <c r="A9" s="20" t="s">
        <v>14</v>
      </c>
      <c r="B9" s="122" t="str">
        <f t="shared" si="0"/>
        <v/>
      </c>
      <c r="C9" s="112">
        <v>0</v>
      </c>
      <c r="D9" s="1">
        <v>0</v>
      </c>
      <c r="E9" s="105"/>
      <c r="F9" s="1"/>
      <c r="G9" s="1"/>
      <c r="H9" s="1"/>
      <c r="I9" s="1"/>
      <c r="J9" s="1"/>
      <c r="K9" s="37"/>
      <c r="L9" s="1">
        <v>0</v>
      </c>
      <c r="M9" s="1">
        <v>0</v>
      </c>
      <c r="N9" s="1"/>
      <c r="O9" s="1"/>
      <c r="P9" s="1"/>
      <c r="Q9" s="1"/>
      <c r="R9" s="1">
        <v>0</v>
      </c>
      <c r="S9" s="1">
        <v>0</v>
      </c>
      <c r="T9" s="1">
        <v>3</v>
      </c>
      <c r="U9" s="1">
        <v>6</v>
      </c>
      <c r="V9" s="1">
        <v>0</v>
      </c>
      <c r="W9" s="28">
        <v>8</v>
      </c>
    </row>
    <row r="10" spans="1:23" x14ac:dyDescent="0.25">
      <c r="A10" s="20" t="s">
        <v>3</v>
      </c>
      <c r="B10" s="122">
        <f t="shared" si="0"/>
        <v>-0.62859926794218035</v>
      </c>
      <c r="C10" s="112">
        <v>-1779.5301593825407</v>
      </c>
      <c r="D10" s="1">
        <v>-2468.5014442123047</v>
      </c>
      <c r="E10" s="105">
        <v>4295.6916099773243</v>
      </c>
      <c r="F10" s="1">
        <v>11566.190476190477</v>
      </c>
      <c r="G10" s="1">
        <v>7778.5714285714284</v>
      </c>
      <c r="H10" s="1">
        <v>12390.653988868275</v>
      </c>
      <c r="I10" s="1">
        <v>18258.05</v>
      </c>
      <c r="J10" s="1">
        <v>9308.0299999999988</v>
      </c>
      <c r="K10" s="37">
        <v>11852</v>
      </c>
      <c r="L10" s="1">
        <v>7254</v>
      </c>
      <c r="M10" s="1">
        <v>6059</v>
      </c>
      <c r="N10" s="1">
        <v>20023</v>
      </c>
      <c r="O10" s="1">
        <v>23236</v>
      </c>
      <c r="P10" s="1">
        <v>11742</v>
      </c>
      <c r="Q10" s="1">
        <v>15721</v>
      </c>
      <c r="R10" s="1">
        <v>23919</v>
      </c>
      <c r="S10" s="1">
        <v>15322</v>
      </c>
      <c r="T10" s="1">
        <v>19838</v>
      </c>
      <c r="U10" s="1">
        <v>25660</v>
      </c>
      <c r="V10" s="1">
        <v>16210</v>
      </c>
      <c r="W10" s="28">
        <v>13034</v>
      </c>
    </row>
    <row r="11" spans="1:23" x14ac:dyDescent="0.25">
      <c r="A11" s="20" t="s">
        <v>17</v>
      </c>
      <c r="B11" s="122">
        <f t="shared" si="0"/>
        <v>0.29032258064516131</v>
      </c>
      <c r="C11" s="112">
        <v>-18.34625322997416</v>
      </c>
      <c r="D11" s="1">
        <v>-98.113695090439265</v>
      </c>
      <c r="E11" s="105">
        <v>44.444444444444443</v>
      </c>
      <c r="F11" s="1">
        <v>34.444444444444443</v>
      </c>
      <c r="G11" s="1">
        <v>28.40909090909091</v>
      </c>
      <c r="H11" s="1">
        <v>2.2727272727272725</v>
      </c>
      <c r="I11" s="1">
        <v>1.3</v>
      </c>
      <c r="J11" s="1">
        <v>0</v>
      </c>
      <c r="K11" s="37">
        <v>1</v>
      </c>
      <c r="L11" s="1">
        <v>0</v>
      </c>
      <c r="M11" s="79">
        <v>0</v>
      </c>
      <c r="N11" s="79">
        <v>0</v>
      </c>
      <c r="O11" s="79">
        <v>40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1">
        <v>0</v>
      </c>
      <c r="W11" s="28">
        <v>0</v>
      </c>
    </row>
    <row r="12" spans="1:23" x14ac:dyDescent="0.25">
      <c r="A12" s="21" t="s">
        <v>10</v>
      </c>
      <c r="B12" s="122">
        <f t="shared" si="0"/>
        <v>-0.83812460498343333</v>
      </c>
      <c r="C12" s="112">
        <v>-121.86660838714133</v>
      </c>
      <c r="D12" s="1">
        <v>-335.84713802407396</v>
      </c>
      <c r="E12" s="105">
        <v>191.65532879818593</v>
      </c>
      <c r="F12" s="1">
        <v>1183.968253968254</v>
      </c>
      <c r="G12" s="1">
        <v>3041.2105751391468</v>
      </c>
      <c r="H12" s="1">
        <v>2787.8246753246754</v>
      </c>
      <c r="I12" s="1">
        <v>3382.25</v>
      </c>
      <c r="J12" s="1">
        <v>3317.35</v>
      </c>
      <c r="K12" s="37">
        <v>7095</v>
      </c>
      <c r="L12" s="1">
        <v>1234</v>
      </c>
      <c r="M12" s="79">
        <v>35</v>
      </c>
      <c r="N12" s="79">
        <v>9619</v>
      </c>
      <c r="O12" s="79">
        <v>4223</v>
      </c>
      <c r="P12" s="79">
        <v>13338</v>
      </c>
      <c r="Q12" s="79">
        <v>6728</v>
      </c>
      <c r="R12" s="79">
        <v>9798</v>
      </c>
      <c r="S12" s="79">
        <v>7007</v>
      </c>
      <c r="T12" s="79">
        <v>10376</v>
      </c>
      <c r="U12" s="79">
        <v>8770</v>
      </c>
      <c r="V12" s="1">
        <v>3314</v>
      </c>
      <c r="W12" s="28">
        <v>5110</v>
      </c>
    </row>
    <row r="13" spans="1:23" x14ac:dyDescent="0.25">
      <c r="A13" s="21" t="s">
        <v>27</v>
      </c>
      <c r="B13" s="122">
        <f t="shared" si="0"/>
        <v>0.67631532329495136</v>
      </c>
      <c r="C13" s="112">
        <v>-136.01493086645655</v>
      </c>
      <c r="D13" s="1">
        <v>-167.04996871281071</v>
      </c>
      <c r="E13" s="105">
        <v>1072.8798185941043</v>
      </c>
      <c r="F13" s="1">
        <v>640.02267573696145</v>
      </c>
      <c r="G13" s="1">
        <v>2331.8413729128015</v>
      </c>
      <c r="H13" s="1">
        <v>1878.8265306122448</v>
      </c>
      <c r="I13" s="1">
        <v>1157.55</v>
      </c>
      <c r="J13" s="1">
        <v>1921.87</v>
      </c>
      <c r="K13" s="37">
        <v>5144</v>
      </c>
      <c r="L13" s="1">
        <v>474</v>
      </c>
      <c r="M13" s="79">
        <v>19</v>
      </c>
      <c r="N13" s="79">
        <v>4249</v>
      </c>
      <c r="O13" s="79">
        <v>3479</v>
      </c>
      <c r="P13" s="79">
        <v>4590</v>
      </c>
      <c r="Q13" s="79">
        <v>2863</v>
      </c>
      <c r="R13" s="79">
        <v>3417</v>
      </c>
      <c r="S13" s="79">
        <v>3811</v>
      </c>
      <c r="T13" s="79">
        <v>4691</v>
      </c>
      <c r="U13" s="79">
        <v>3106</v>
      </c>
      <c r="V13" s="1">
        <v>2136</v>
      </c>
      <c r="W13" s="28">
        <v>2663</v>
      </c>
    </row>
    <row r="14" spans="1:23" x14ac:dyDescent="0.25">
      <c r="A14" s="20" t="s">
        <v>26</v>
      </c>
      <c r="B14" s="122" t="str">
        <f t="shared" si="0"/>
        <v/>
      </c>
      <c r="C14" s="112">
        <v>0</v>
      </c>
      <c r="D14" s="1">
        <v>0</v>
      </c>
      <c r="E14" s="105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37">
        <v>0</v>
      </c>
      <c r="L14" s="1">
        <v>0</v>
      </c>
      <c r="M14" s="79">
        <v>0</v>
      </c>
      <c r="N14" s="79">
        <v>1919</v>
      </c>
      <c r="O14" s="79">
        <v>1053</v>
      </c>
      <c r="P14" s="79">
        <v>2213</v>
      </c>
      <c r="Q14" s="79">
        <v>1568</v>
      </c>
      <c r="R14" s="79">
        <v>1878</v>
      </c>
      <c r="S14" s="79">
        <v>1964</v>
      </c>
      <c r="T14" s="79">
        <v>3138</v>
      </c>
      <c r="U14" s="79">
        <v>2088</v>
      </c>
      <c r="V14" s="1">
        <v>1634</v>
      </c>
      <c r="W14" s="28">
        <v>2156</v>
      </c>
    </row>
    <row r="15" spans="1:23" x14ac:dyDescent="0.25">
      <c r="A15" s="20" t="s">
        <v>97</v>
      </c>
      <c r="B15" s="122" t="str">
        <f t="shared" si="0"/>
        <v/>
      </c>
      <c r="C15" s="112">
        <v>-7.9738405391725928</v>
      </c>
      <c r="D15" s="1">
        <v>0</v>
      </c>
      <c r="E15" s="105">
        <v>7.7777777777777777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37">
        <v>0</v>
      </c>
      <c r="L15" s="1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1">
        <v>0</v>
      </c>
      <c r="W15" s="28">
        <v>0</v>
      </c>
    </row>
    <row r="16" spans="1:23" x14ac:dyDescent="0.25">
      <c r="A16" s="20" t="s">
        <v>13</v>
      </c>
      <c r="B16" s="122">
        <f t="shared" si="0"/>
        <v>-0.46993670886075944</v>
      </c>
      <c r="C16" s="112">
        <v>-567.31266149870794</v>
      </c>
      <c r="D16" s="1">
        <v>-763.39753323210516</v>
      </c>
      <c r="E16" s="105">
        <v>372.22222222222223</v>
      </c>
      <c r="F16" s="1">
        <v>702.22222222222217</v>
      </c>
      <c r="G16" s="1">
        <v>2654.0352504638217</v>
      </c>
      <c r="H16" s="1">
        <v>1137.7319109461966</v>
      </c>
      <c r="I16" s="1">
        <v>172.9</v>
      </c>
      <c r="J16" s="1">
        <v>185.81</v>
      </c>
      <c r="K16" s="37">
        <v>576</v>
      </c>
      <c r="L16" s="1">
        <v>166</v>
      </c>
      <c r="M16" s="79">
        <v>40</v>
      </c>
      <c r="N16" s="79">
        <v>774</v>
      </c>
      <c r="O16" s="79">
        <v>136</v>
      </c>
      <c r="P16" s="79">
        <v>331</v>
      </c>
      <c r="Q16" s="79">
        <v>96</v>
      </c>
      <c r="R16" s="79">
        <v>343</v>
      </c>
      <c r="S16" s="79">
        <v>390</v>
      </c>
      <c r="T16" s="79">
        <v>223</v>
      </c>
      <c r="U16" s="79">
        <v>404</v>
      </c>
      <c r="V16" s="1">
        <v>20</v>
      </c>
      <c r="W16" s="28">
        <v>104</v>
      </c>
    </row>
    <row r="17" spans="1:24" x14ac:dyDescent="0.25">
      <c r="A17" s="71" t="s">
        <v>135</v>
      </c>
      <c r="B17" s="122">
        <f t="shared" si="0"/>
        <v>-0.67587476979742178</v>
      </c>
      <c r="C17" s="112">
        <v>-246.99725618689899</v>
      </c>
      <c r="D17" s="1">
        <v>-166.58914728682157</v>
      </c>
      <c r="E17" s="105">
        <v>391.11111111111109</v>
      </c>
      <c r="F17" s="1">
        <v>1206.6666666666667</v>
      </c>
      <c r="G17" s="1">
        <v>2911.317254174397</v>
      </c>
      <c r="H17" s="1">
        <v>1201.7857142857142</v>
      </c>
      <c r="I17" s="1">
        <v>1231.9499999999998</v>
      </c>
      <c r="J17" s="1">
        <v>1431.17</v>
      </c>
      <c r="K17" s="37">
        <v>1413</v>
      </c>
      <c r="L17" s="1">
        <v>305</v>
      </c>
      <c r="M17" s="79"/>
      <c r="N17" s="79"/>
      <c r="O17" s="79"/>
      <c r="P17" s="79"/>
      <c r="Q17" s="79"/>
      <c r="R17" s="79"/>
      <c r="S17" s="79"/>
      <c r="T17" s="79"/>
      <c r="U17" s="79"/>
      <c r="V17" s="1"/>
      <c r="W17" s="28"/>
    </row>
    <row r="18" spans="1:24" x14ac:dyDescent="0.25">
      <c r="A18" s="20" t="s">
        <v>174</v>
      </c>
      <c r="B18" s="122" t="str">
        <f t="shared" si="0"/>
        <v/>
      </c>
      <c r="C18" s="112">
        <v>0</v>
      </c>
      <c r="D18" s="1">
        <v>0</v>
      </c>
      <c r="E18" s="105"/>
      <c r="F18" s="1"/>
      <c r="G18" s="1"/>
      <c r="H18" s="1"/>
      <c r="I18" s="1">
        <v>0</v>
      </c>
      <c r="J18" s="1">
        <v>0</v>
      </c>
      <c r="K18" s="37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28">
        <v>0</v>
      </c>
    </row>
    <row r="19" spans="1:24" x14ac:dyDescent="0.25">
      <c r="A19" s="20" t="s">
        <v>98</v>
      </c>
      <c r="B19" s="26">
        <f t="shared" si="0"/>
        <v>1.5222222222222224</v>
      </c>
      <c r="C19" s="49">
        <v>-134.73038923872915</v>
      </c>
      <c r="D19" s="1">
        <v>-125.73136183267361</v>
      </c>
      <c r="E19" s="105">
        <v>10.294784580498867</v>
      </c>
      <c r="F19" s="1">
        <v>4.0816326530612246</v>
      </c>
      <c r="G19" s="1">
        <v>542.90352504638213</v>
      </c>
      <c r="H19" s="1">
        <v>142.85714285714286</v>
      </c>
      <c r="I19" s="1">
        <v>0</v>
      </c>
      <c r="J19" s="1">
        <v>4</v>
      </c>
      <c r="K19" s="37">
        <v>1942</v>
      </c>
      <c r="L19" s="1">
        <v>0</v>
      </c>
      <c r="M19" s="1">
        <v>0</v>
      </c>
      <c r="N19" s="1">
        <v>75</v>
      </c>
      <c r="O19" s="1">
        <v>796</v>
      </c>
      <c r="P19" s="1">
        <v>65</v>
      </c>
      <c r="Q19" s="1">
        <v>75</v>
      </c>
      <c r="R19" s="1">
        <v>1072</v>
      </c>
      <c r="S19" s="1">
        <v>223</v>
      </c>
      <c r="T19" s="1">
        <v>646</v>
      </c>
      <c r="U19" s="1">
        <v>0</v>
      </c>
      <c r="V19" s="1">
        <v>0</v>
      </c>
      <c r="W19" s="28">
        <v>0</v>
      </c>
    </row>
    <row r="20" spans="1:24" ht="13.8" thickBot="1" x14ac:dyDescent="0.3">
      <c r="A20" s="22" t="s">
        <v>60</v>
      </c>
      <c r="B20" s="27">
        <f t="shared" si="0"/>
        <v>-0.71462179074983134</v>
      </c>
      <c r="C20" s="50">
        <v>-183.35249163998691</v>
      </c>
      <c r="D20" s="10">
        <v>-1099.1016091564093</v>
      </c>
      <c r="E20" s="105">
        <v>412.60770975056693</v>
      </c>
      <c r="F20" s="10">
        <v>1445.827664399093</v>
      </c>
      <c r="G20" s="10">
        <v>2341.7207792207791</v>
      </c>
      <c r="H20" s="10">
        <v>1089.2857142857142</v>
      </c>
      <c r="I20" s="10">
        <v>1275.55</v>
      </c>
      <c r="J20" s="10">
        <v>525.95000000000005</v>
      </c>
      <c r="K20" s="36">
        <v>635</v>
      </c>
      <c r="L20" s="10">
        <v>1</v>
      </c>
      <c r="M20" s="10">
        <v>1</v>
      </c>
      <c r="N20" s="80">
        <v>75</v>
      </c>
      <c r="O20" s="80">
        <v>183</v>
      </c>
      <c r="P20" s="80">
        <v>423</v>
      </c>
      <c r="Q20" s="80">
        <v>6</v>
      </c>
      <c r="R20" s="80">
        <v>93</v>
      </c>
      <c r="S20" s="80">
        <v>407</v>
      </c>
      <c r="T20" s="80">
        <v>17</v>
      </c>
      <c r="U20" s="80">
        <v>0</v>
      </c>
      <c r="V20" s="10">
        <v>11</v>
      </c>
      <c r="W20" s="30">
        <v>47</v>
      </c>
    </row>
    <row r="21" spans="1:24" ht="13.8" thickBot="1" x14ac:dyDescent="0.3">
      <c r="A21" s="31" t="s">
        <v>23</v>
      </c>
      <c r="B21" s="32">
        <f t="shared" si="0"/>
        <v>-0.60421742118805966</v>
      </c>
      <c r="C21" s="123">
        <v>-6268.6875309541956</v>
      </c>
      <c r="D21" s="33">
        <v>-12888.837182119703</v>
      </c>
      <c r="E21" s="44">
        <f t="shared" ref="E21" si="1">SUM(E2:E20)</f>
        <v>9832.1995464852625</v>
      </c>
      <c r="F21" s="33">
        <f t="shared" ref="F21:K21" si="2">SUM(F2:F20)</f>
        <v>24842.426303854878</v>
      </c>
      <c r="G21" s="33">
        <f t="shared" si="2"/>
        <v>36629.638218923923</v>
      </c>
      <c r="H21" s="33">
        <f t="shared" si="2"/>
        <v>29827.922077922074</v>
      </c>
      <c r="I21" s="33">
        <f t="shared" si="2"/>
        <v>33802.5</v>
      </c>
      <c r="J21" s="33">
        <f t="shared" si="2"/>
        <v>20224.430000000004</v>
      </c>
      <c r="K21" s="33">
        <f t="shared" si="2"/>
        <v>44922</v>
      </c>
      <c r="L21" s="33">
        <f t="shared" ref="L21:Q21" si="3">SUM(L2:L20)</f>
        <v>11222</v>
      </c>
      <c r="M21" s="33">
        <f t="shared" si="3"/>
        <v>6282</v>
      </c>
      <c r="N21" s="33">
        <f t="shared" si="3"/>
        <v>42160</v>
      </c>
      <c r="O21" s="33">
        <f t="shared" si="3"/>
        <v>39345</v>
      </c>
      <c r="P21" s="33">
        <f t="shared" si="3"/>
        <v>40541</v>
      </c>
      <c r="Q21" s="33">
        <f t="shared" si="3"/>
        <v>27673</v>
      </c>
      <c r="R21" s="33">
        <f t="shared" ref="R21:W21" si="4">SUM(R2:R20)</f>
        <v>42860</v>
      </c>
      <c r="S21" s="33">
        <f t="shared" si="4"/>
        <v>34582</v>
      </c>
      <c r="T21" s="33">
        <f t="shared" si="4"/>
        <v>41884</v>
      </c>
      <c r="U21" s="33">
        <f t="shared" si="4"/>
        <v>48073</v>
      </c>
      <c r="V21" s="33">
        <f t="shared" si="4"/>
        <v>24817</v>
      </c>
      <c r="W21" s="34">
        <f t="shared" si="4"/>
        <v>24834</v>
      </c>
    </row>
    <row r="22" spans="1:24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3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6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20" t="s">
        <v>4</v>
      </c>
      <c r="B2" s="26" t="str">
        <f t="shared" ref="B2:B10" si="0">IFERROR(((E2-F2)/F2),"")</f>
        <v/>
      </c>
      <c r="C2" s="49">
        <v>0</v>
      </c>
      <c r="D2" s="1">
        <v>-3.9492014309524146</v>
      </c>
      <c r="E2" s="105"/>
      <c r="F2" s="1"/>
      <c r="G2" s="1">
        <v>48</v>
      </c>
      <c r="H2" s="1">
        <v>0</v>
      </c>
      <c r="I2" s="1">
        <v>0</v>
      </c>
      <c r="J2" s="56">
        <v>0</v>
      </c>
      <c r="K2" s="1">
        <v>0</v>
      </c>
      <c r="L2" s="1">
        <v>0</v>
      </c>
      <c r="M2" s="1">
        <v>0</v>
      </c>
      <c r="N2" s="1">
        <v>89</v>
      </c>
      <c r="O2" s="1">
        <v>0</v>
      </c>
      <c r="P2" s="1">
        <v>130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4800</v>
      </c>
      <c r="W2" s="28">
        <v>350</v>
      </c>
    </row>
    <row r="3" spans="1:23" x14ac:dyDescent="0.25">
      <c r="A3" s="20" t="s">
        <v>161</v>
      </c>
      <c r="B3" s="122" t="str">
        <f t="shared" si="0"/>
        <v/>
      </c>
      <c r="C3" s="112">
        <v>0</v>
      </c>
      <c r="D3" s="1">
        <v>0</v>
      </c>
      <c r="E3" s="105"/>
      <c r="F3" s="1"/>
      <c r="G3" s="1"/>
      <c r="H3" s="1">
        <v>0</v>
      </c>
      <c r="I3" s="1"/>
      <c r="J3" s="56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8">
        <v>0</v>
      </c>
    </row>
    <row r="4" spans="1:23" x14ac:dyDescent="0.25">
      <c r="A4" s="20" t="s">
        <v>2</v>
      </c>
      <c r="B4" s="122" t="str">
        <f t="shared" si="0"/>
        <v/>
      </c>
      <c r="C4" s="112">
        <v>0</v>
      </c>
      <c r="D4" s="1">
        <v>0</v>
      </c>
      <c r="E4" s="105"/>
      <c r="F4" s="1"/>
      <c r="G4" s="1">
        <v>30</v>
      </c>
      <c r="H4" s="1">
        <v>90</v>
      </c>
      <c r="I4" s="1">
        <v>0</v>
      </c>
      <c r="J4" s="56">
        <v>0</v>
      </c>
      <c r="K4" s="1">
        <v>0</v>
      </c>
      <c r="L4" s="1">
        <v>0</v>
      </c>
      <c r="M4" s="1">
        <v>0</v>
      </c>
      <c r="N4" s="1">
        <v>92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1500</v>
      </c>
      <c r="W4" s="28">
        <v>0</v>
      </c>
    </row>
    <row r="5" spans="1:23" x14ac:dyDescent="0.25">
      <c r="A5" s="20" t="s">
        <v>103</v>
      </c>
      <c r="B5" s="122" t="str">
        <f t="shared" si="0"/>
        <v/>
      </c>
      <c r="C5" s="112">
        <v>0</v>
      </c>
      <c r="D5" s="1">
        <v>0</v>
      </c>
      <c r="E5" s="105"/>
      <c r="F5" s="1"/>
      <c r="G5" s="1"/>
      <c r="H5" s="1">
        <v>0</v>
      </c>
      <c r="I5" s="1"/>
      <c r="J5" s="5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8">
        <v>0</v>
      </c>
    </row>
    <row r="6" spans="1:23" x14ac:dyDescent="0.25">
      <c r="A6" s="20" t="s">
        <v>3</v>
      </c>
      <c r="B6" s="122">
        <f t="shared" si="0"/>
        <v>-0.2067179435693631</v>
      </c>
      <c r="C6" s="112">
        <v>-2318.6256799058601</v>
      </c>
      <c r="D6" s="1">
        <v>-2978.126192461747</v>
      </c>
      <c r="E6" s="105">
        <v>1780</v>
      </c>
      <c r="F6" s="1">
        <v>2243.8425091941303</v>
      </c>
      <c r="G6" s="1">
        <v>436</v>
      </c>
      <c r="H6" s="1">
        <v>1077</v>
      </c>
      <c r="I6" s="1">
        <v>987</v>
      </c>
      <c r="J6" s="56">
        <v>8602</v>
      </c>
      <c r="K6" s="1">
        <v>3022</v>
      </c>
      <c r="L6" s="1">
        <v>1458</v>
      </c>
      <c r="M6" s="1">
        <v>4171</v>
      </c>
      <c r="N6" s="1">
        <v>7671</v>
      </c>
      <c r="O6" s="1">
        <v>4377</v>
      </c>
      <c r="P6" s="1">
        <v>3879</v>
      </c>
      <c r="Q6" s="1">
        <v>1146</v>
      </c>
      <c r="R6" s="1">
        <v>2500</v>
      </c>
      <c r="S6" s="1">
        <v>195</v>
      </c>
      <c r="T6" s="1">
        <v>8963</v>
      </c>
      <c r="U6" s="1">
        <v>3900</v>
      </c>
      <c r="V6" s="1">
        <v>9700</v>
      </c>
      <c r="W6" s="28">
        <v>4700</v>
      </c>
    </row>
    <row r="7" spans="1:23" x14ac:dyDescent="0.25">
      <c r="A7" s="21" t="s">
        <v>27</v>
      </c>
      <c r="B7" s="26">
        <f t="shared" si="0"/>
        <v>-0.51832971741891487</v>
      </c>
      <c r="C7" s="49">
        <v>-4361.4850395911344</v>
      </c>
      <c r="D7" s="1">
        <v>-8611.18227346395</v>
      </c>
      <c r="E7" s="105">
        <v>5367</v>
      </c>
      <c r="F7" s="1">
        <v>11142.4769060701</v>
      </c>
      <c r="G7" s="1">
        <v>8886.641706840066</v>
      </c>
      <c r="H7" s="1">
        <v>36533</v>
      </c>
      <c r="I7" s="1">
        <v>15380</v>
      </c>
      <c r="J7" s="56">
        <v>20502</v>
      </c>
      <c r="K7" s="1">
        <v>15827</v>
      </c>
      <c r="L7" s="1">
        <v>162</v>
      </c>
      <c r="M7" s="79">
        <v>9632</v>
      </c>
      <c r="N7" s="79">
        <v>23294</v>
      </c>
      <c r="O7" s="79">
        <v>28681</v>
      </c>
      <c r="P7" s="79">
        <v>11376</v>
      </c>
      <c r="Q7" s="79">
        <v>4518</v>
      </c>
      <c r="R7" s="79">
        <v>10000</v>
      </c>
      <c r="S7" s="79">
        <v>25472</v>
      </c>
      <c r="T7" s="79">
        <v>45493</v>
      </c>
      <c r="U7" s="79">
        <v>67400</v>
      </c>
      <c r="V7" s="1">
        <v>51800</v>
      </c>
      <c r="W7" s="28">
        <v>47150</v>
      </c>
    </row>
    <row r="8" spans="1:23" x14ac:dyDescent="0.25">
      <c r="A8" s="20" t="s">
        <v>26</v>
      </c>
      <c r="B8" s="26">
        <f t="shared" si="0"/>
        <v>-0.55704097660893304</v>
      </c>
      <c r="C8" s="49">
        <v>-255.08480681341348</v>
      </c>
      <c r="D8" s="1">
        <v>-586.85015595510322</v>
      </c>
      <c r="E8" s="105">
        <v>1491</v>
      </c>
      <c r="F8" s="1">
        <v>3365.9998357989621</v>
      </c>
      <c r="G8" s="1">
        <v>4704.8535566283363</v>
      </c>
      <c r="H8" s="1">
        <v>12733</v>
      </c>
      <c r="I8" s="1">
        <v>4558</v>
      </c>
      <c r="J8" s="56">
        <v>19929</v>
      </c>
      <c r="K8" s="1">
        <v>15901</v>
      </c>
      <c r="L8" s="1">
        <v>26</v>
      </c>
      <c r="M8" s="79">
        <v>5703</v>
      </c>
      <c r="N8" s="79">
        <v>5737</v>
      </c>
      <c r="O8" s="79">
        <v>12377</v>
      </c>
      <c r="P8" s="79">
        <v>3197</v>
      </c>
      <c r="Q8" s="79">
        <v>2347</v>
      </c>
      <c r="R8" s="79">
        <v>5570</v>
      </c>
      <c r="S8" s="79">
        <v>2037</v>
      </c>
      <c r="T8" s="79">
        <v>7039</v>
      </c>
      <c r="U8" s="79">
        <v>6600</v>
      </c>
      <c r="V8" s="1">
        <v>18900</v>
      </c>
      <c r="W8" s="28">
        <v>14300</v>
      </c>
    </row>
    <row r="9" spans="1:23" ht="13.8" thickBot="1" x14ac:dyDescent="0.3">
      <c r="A9" s="22" t="s">
        <v>60</v>
      </c>
      <c r="B9" s="27">
        <f t="shared" si="0"/>
        <v>-0.84632768361581923</v>
      </c>
      <c r="C9" s="50">
        <v>-3735.55555829472</v>
      </c>
      <c r="D9" s="10">
        <v>-3945</v>
      </c>
      <c r="E9" s="106">
        <v>136</v>
      </c>
      <c r="F9" s="10">
        <v>885</v>
      </c>
      <c r="G9" s="10">
        <v>4931</v>
      </c>
      <c r="H9" s="10">
        <v>7724</v>
      </c>
      <c r="I9" s="10">
        <v>2612</v>
      </c>
      <c r="J9" s="60">
        <v>582</v>
      </c>
      <c r="K9" s="10">
        <v>3835</v>
      </c>
      <c r="L9" s="10">
        <v>181</v>
      </c>
      <c r="M9" s="80">
        <v>10</v>
      </c>
      <c r="N9" s="80">
        <v>4429</v>
      </c>
      <c r="O9" s="80">
        <v>1216</v>
      </c>
      <c r="P9" s="80">
        <v>1656</v>
      </c>
      <c r="Q9" s="80">
        <v>405</v>
      </c>
      <c r="R9" s="80">
        <v>1070</v>
      </c>
      <c r="S9" s="80">
        <v>6836</v>
      </c>
      <c r="T9" s="80">
        <v>4019</v>
      </c>
      <c r="U9" s="80">
        <v>14300</v>
      </c>
      <c r="V9" s="10">
        <v>10700</v>
      </c>
      <c r="W9" s="30">
        <v>700</v>
      </c>
    </row>
    <row r="10" spans="1:23" ht="13.8" thickBot="1" x14ac:dyDescent="0.3">
      <c r="A10" s="31" t="s">
        <v>23</v>
      </c>
      <c r="B10" s="32">
        <f t="shared" si="0"/>
        <v>-0.50253210960780814</v>
      </c>
      <c r="C10" s="123">
        <v>-10670.75108460513</v>
      </c>
      <c r="D10" s="33">
        <v>-16125.107823311751</v>
      </c>
      <c r="E10" s="44">
        <f t="shared" ref="E10" si="1">SUM(E2:E9)</f>
        <v>8774</v>
      </c>
      <c r="F10" s="33">
        <f t="shared" ref="F10:K10" si="2">SUM(F2:F9)</f>
        <v>17637.319251063192</v>
      </c>
      <c r="G10" s="33">
        <f t="shared" si="2"/>
        <v>19036.495263468401</v>
      </c>
      <c r="H10" s="33">
        <f t="shared" si="2"/>
        <v>58157</v>
      </c>
      <c r="I10" s="33">
        <f t="shared" si="2"/>
        <v>23537</v>
      </c>
      <c r="J10" s="98">
        <f t="shared" si="2"/>
        <v>49615</v>
      </c>
      <c r="K10" s="33">
        <f t="shared" si="2"/>
        <v>38585</v>
      </c>
      <c r="L10" s="33">
        <f t="shared" ref="L10:Q10" si="3">SUM(L2:L9)</f>
        <v>1827</v>
      </c>
      <c r="M10" s="33">
        <f t="shared" si="3"/>
        <v>19516</v>
      </c>
      <c r="N10" s="33">
        <f t="shared" si="3"/>
        <v>41312</v>
      </c>
      <c r="O10" s="33">
        <f t="shared" si="3"/>
        <v>46651</v>
      </c>
      <c r="P10" s="33">
        <f t="shared" si="3"/>
        <v>20238</v>
      </c>
      <c r="Q10" s="33">
        <f t="shared" si="3"/>
        <v>8416</v>
      </c>
      <c r="R10" s="33">
        <f t="shared" ref="R10:W10" si="4">SUM(R2:R9)</f>
        <v>19140</v>
      </c>
      <c r="S10" s="33">
        <f t="shared" si="4"/>
        <v>34540</v>
      </c>
      <c r="T10" s="33">
        <f t="shared" si="4"/>
        <v>65514</v>
      </c>
      <c r="U10" s="33">
        <f t="shared" si="4"/>
        <v>92200</v>
      </c>
      <c r="V10" s="33">
        <f t="shared" si="4"/>
        <v>98100</v>
      </c>
      <c r="W10" s="34">
        <f t="shared" si="4"/>
        <v>67200</v>
      </c>
    </row>
    <row r="11" spans="1:23" x14ac:dyDescent="0.25">
      <c r="A11" t="s">
        <v>104</v>
      </c>
      <c r="B11" s="35"/>
      <c r="C11" s="35"/>
      <c r="D11" s="35"/>
      <c r="E11" s="35"/>
      <c r="F11" s="35"/>
      <c r="G11" s="35"/>
      <c r="H11" s="35"/>
      <c r="I11" s="35"/>
      <c r="J11" s="117"/>
      <c r="K11" s="35"/>
      <c r="L11" s="35"/>
    </row>
    <row r="12" spans="1:23" x14ac:dyDescent="0.25">
      <c r="A12" s="51" t="s">
        <v>160</v>
      </c>
      <c r="B12" s="35"/>
      <c r="C12" s="35"/>
      <c r="D12" s="35"/>
      <c r="E12" s="35"/>
      <c r="F12" s="35"/>
      <c r="G12" s="35"/>
      <c r="H12" s="35"/>
      <c r="I12" s="35"/>
      <c r="J12" s="117"/>
      <c r="K12" s="35"/>
      <c r="L12" s="35"/>
    </row>
    <row r="13" spans="1:23" ht="13.8" thickBot="1" x14ac:dyDescent="0.3">
      <c r="B13" s="35"/>
      <c r="C13" s="35"/>
      <c r="D13" s="35"/>
      <c r="E13" s="35"/>
      <c r="F13" s="35"/>
      <c r="G13" s="35"/>
      <c r="H13" s="35"/>
      <c r="I13" s="35"/>
      <c r="J13" s="117"/>
      <c r="K13" s="35"/>
      <c r="L13" s="35"/>
    </row>
    <row r="14" spans="1:23" ht="13.8" thickBot="1" x14ac:dyDescent="0.3">
      <c r="A14" s="23" t="s">
        <v>25</v>
      </c>
      <c r="B14" s="118" t="s">
        <v>171</v>
      </c>
      <c r="C14" s="48" t="s">
        <v>172</v>
      </c>
      <c r="D14" s="78" t="s">
        <v>169</v>
      </c>
      <c r="E14" s="104">
        <v>45809</v>
      </c>
      <c r="F14" s="110">
        <v>45444</v>
      </c>
      <c r="G14" s="110">
        <v>45078</v>
      </c>
      <c r="H14" s="110">
        <v>44713</v>
      </c>
      <c r="I14" s="110">
        <v>44348</v>
      </c>
      <c r="J14" s="116">
        <v>43983</v>
      </c>
      <c r="K14" s="110">
        <v>43617</v>
      </c>
      <c r="L14" s="110">
        <v>43252</v>
      </c>
      <c r="M14" s="24">
        <v>42887</v>
      </c>
      <c r="N14" s="24">
        <v>42522</v>
      </c>
      <c r="O14" s="24">
        <v>42156</v>
      </c>
      <c r="P14" s="24">
        <v>41791</v>
      </c>
      <c r="Q14" s="24">
        <v>41426</v>
      </c>
      <c r="R14" s="24">
        <v>41061</v>
      </c>
      <c r="S14" s="24">
        <v>40695</v>
      </c>
      <c r="T14" s="24">
        <v>40330</v>
      </c>
      <c r="U14" s="24">
        <v>39965</v>
      </c>
      <c r="V14" s="24">
        <v>39600</v>
      </c>
      <c r="W14" s="25">
        <v>39234</v>
      </c>
    </row>
    <row r="15" spans="1:23" x14ac:dyDescent="0.25">
      <c r="A15" s="20" t="s">
        <v>7</v>
      </c>
      <c r="B15" s="26">
        <f t="shared" ref="B15:B20" si="5">IFERROR(((E15-F15)/F15),"")</f>
        <v>-0.17546010237381346</v>
      </c>
      <c r="C15" s="49">
        <v>-4016.4326348475461</v>
      </c>
      <c r="D15" s="1">
        <v>-5895.3382270257998</v>
      </c>
      <c r="E15" s="105">
        <v>3982</v>
      </c>
      <c r="F15" s="1">
        <v>4829.3599999999997</v>
      </c>
      <c r="G15" s="1">
        <v>5043.365373103712</v>
      </c>
      <c r="H15" s="1">
        <v>11662</v>
      </c>
      <c r="I15" s="1">
        <v>13790</v>
      </c>
      <c r="J15" s="56">
        <v>662</v>
      </c>
      <c r="K15" s="1">
        <v>12933</v>
      </c>
      <c r="L15" s="1">
        <v>3525</v>
      </c>
      <c r="M15" s="1">
        <v>1914</v>
      </c>
      <c r="N15" s="1">
        <v>20272</v>
      </c>
      <c r="O15" s="1">
        <v>9728</v>
      </c>
      <c r="P15" s="1">
        <v>3865</v>
      </c>
      <c r="Q15" s="1">
        <v>3010</v>
      </c>
      <c r="R15" s="1">
        <v>1755</v>
      </c>
      <c r="S15" s="1">
        <v>13500</v>
      </c>
      <c r="T15" s="1">
        <v>5200</v>
      </c>
      <c r="U15" s="1">
        <v>0</v>
      </c>
      <c r="V15" s="1">
        <v>44000</v>
      </c>
      <c r="W15" s="28">
        <v>26550</v>
      </c>
    </row>
    <row r="16" spans="1:23" x14ac:dyDescent="0.25">
      <c r="A16" s="20" t="s">
        <v>102</v>
      </c>
      <c r="B16" s="26" t="str">
        <f t="shared" si="5"/>
        <v/>
      </c>
      <c r="C16" s="49">
        <v>0</v>
      </c>
      <c r="D16" s="1">
        <v>0</v>
      </c>
      <c r="E16" s="105"/>
      <c r="F16" s="1"/>
      <c r="G16" s="1"/>
      <c r="H16" s="1">
        <v>0</v>
      </c>
      <c r="I16" s="1">
        <v>0</v>
      </c>
      <c r="J16" s="56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/>
      <c r="U16" s="1">
        <v>0</v>
      </c>
      <c r="V16" s="1">
        <v>0</v>
      </c>
      <c r="W16" s="28">
        <v>150</v>
      </c>
    </row>
    <row r="17" spans="1:24" x14ac:dyDescent="0.25">
      <c r="A17" s="39" t="s">
        <v>162</v>
      </c>
      <c r="B17" s="26" t="str">
        <f t="shared" si="5"/>
        <v/>
      </c>
      <c r="C17" s="49">
        <v>0</v>
      </c>
      <c r="D17" s="1">
        <v>0</v>
      </c>
      <c r="E17" s="105"/>
      <c r="F17" s="1"/>
      <c r="G17" s="1"/>
      <c r="H17" s="1">
        <v>0</v>
      </c>
      <c r="I17" s="1">
        <v>0</v>
      </c>
      <c r="J17" s="56">
        <v>0</v>
      </c>
      <c r="K17" s="1">
        <v>0</v>
      </c>
      <c r="L17" s="1">
        <v>0</v>
      </c>
      <c r="M17" s="1">
        <v>0</v>
      </c>
      <c r="N17" s="1">
        <v>0</v>
      </c>
      <c r="O17" s="1"/>
      <c r="P17" s="1"/>
      <c r="Q17" s="1"/>
      <c r="R17" s="1"/>
      <c r="S17" s="1"/>
      <c r="T17" s="1"/>
      <c r="U17" s="1"/>
      <c r="V17" s="1"/>
      <c r="W17" s="28"/>
    </row>
    <row r="18" spans="1:24" x14ac:dyDescent="0.25">
      <c r="A18" s="39" t="s">
        <v>175</v>
      </c>
      <c r="B18" s="137" t="str">
        <f t="shared" si="5"/>
        <v/>
      </c>
      <c r="C18" s="138">
        <v>0</v>
      </c>
      <c r="D18" s="56">
        <v>0</v>
      </c>
      <c r="E18" s="55"/>
      <c r="F18" s="1"/>
      <c r="G18" s="1"/>
      <c r="H18" s="1">
        <v>361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8"/>
    </row>
    <row r="19" spans="1:24" ht="13.8" thickBot="1" x14ac:dyDescent="0.3">
      <c r="A19" s="29" t="s">
        <v>6</v>
      </c>
      <c r="B19" s="27" t="str">
        <f t="shared" si="5"/>
        <v/>
      </c>
      <c r="C19" s="50">
        <v>-9.7141256437765993</v>
      </c>
      <c r="D19" s="10">
        <v>0</v>
      </c>
      <c r="E19" s="106"/>
      <c r="F19" s="10"/>
      <c r="G19" s="10">
        <v>50</v>
      </c>
      <c r="H19" s="10">
        <v>0</v>
      </c>
      <c r="I19" s="10">
        <v>0</v>
      </c>
      <c r="J19" s="60">
        <v>153</v>
      </c>
      <c r="K19" s="10">
        <v>152</v>
      </c>
      <c r="L19" s="10">
        <v>0</v>
      </c>
      <c r="M19" s="10">
        <v>0</v>
      </c>
      <c r="N19" s="10">
        <v>0</v>
      </c>
      <c r="O19" s="10">
        <v>109</v>
      </c>
      <c r="P19" s="10">
        <v>0</v>
      </c>
      <c r="Q19" s="10">
        <v>0</v>
      </c>
      <c r="R19" s="10">
        <v>0</v>
      </c>
      <c r="S19" s="10">
        <v>0</v>
      </c>
      <c r="T19" s="10"/>
      <c r="U19" s="10">
        <v>0</v>
      </c>
      <c r="V19" s="10">
        <v>0</v>
      </c>
      <c r="W19" s="30">
        <v>500</v>
      </c>
    </row>
    <row r="20" spans="1:24" ht="13.8" thickBot="1" x14ac:dyDescent="0.3">
      <c r="A20" s="31" t="s">
        <v>23</v>
      </c>
      <c r="B20" s="32">
        <f t="shared" si="5"/>
        <v>-0.17546010237381346</v>
      </c>
      <c r="C20" s="123">
        <v>-4026.1467604913223</v>
      </c>
      <c r="D20" s="33">
        <v>-5895.3382270257998</v>
      </c>
      <c r="E20" s="44">
        <f t="shared" ref="E20" si="6">SUM(E15:E19)</f>
        <v>3982</v>
      </c>
      <c r="F20" s="33">
        <f t="shared" ref="F20:W20" si="7">SUM(F15:F19)</f>
        <v>4829.3599999999997</v>
      </c>
      <c r="G20" s="33">
        <f t="shared" si="7"/>
        <v>5093.365373103712</v>
      </c>
      <c r="H20" s="33">
        <f t="shared" si="7"/>
        <v>12023</v>
      </c>
      <c r="I20" s="33">
        <f t="shared" si="7"/>
        <v>13790</v>
      </c>
      <c r="J20" s="98">
        <f t="shared" si="7"/>
        <v>815</v>
      </c>
      <c r="K20" s="33">
        <f t="shared" si="7"/>
        <v>13085</v>
      </c>
      <c r="L20" s="33">
        <f t="shared" si="7"/>
        <v>3525</v>
      </c>
      <c r="M20" s="33">
        <f t="shared" si="7"/>
        <v>1914</v>
      </c>
      <c r="N20" s="33">
        <f t="shared" si="7"/>
        <v>20272</v>
      </c>
      <c r="O20" s="33">
        <f t="shared" si="7"/>
        <v>9837</v>
      </c>
      <c r="P20" s="33">
        <f t="shared" si="7"/>
        <v>3865</v>
      </c>
      <c r="Q20" s="33">
        <f t="shared" si="7"/>
        <v>3010</v>
      </c>
      <c r="R20" s="33">
        <f t="shared" si="7"/>
        <v>1755</v>
      </c>
      <c r="S20" s="33">
        <f t="shared" si="7"/>
        <v>13500</v>
      </c>
      <c r="T20" s="33">
        <f t="shared" si="7"/>
        <v>5200</v>
      </c>
      <c r="U20" s="33">
        <f t="shared" si="7"/>
        <v>0</v>
      </c>
      <c r="V20" s="33">
        <f t="shared" si="7"/>
        <v>44000</v>
      </c>
      <c r="W20" s="34">
        <f t="shared" si="7"/>
        <v>27200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2" priority="2">
      <formula>ISBLANK(XFD1)=FALSE</formula>
    </cfRule>
  </conditionalFormatting>
  <conditionalFormatting sqref="E14">
    <cfRule type="expression" dxfId="21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  <ignoredErrors>
    <ignoredError sqref="H20 H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zoomScaleNormal="100" workbookViewId="0"/>
  </sheetViews>
  <sheetFormatPr defaultColWidth="9.10937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82" bestFit="1" customWidth="1"/>
    <col min="5" max="5" width="11.33203125" style="82" customWidth="1"/>
    <col min="6" max="12" width="11.44140625" style="82" customWidth="1"/>
    <col min="13" max="13" width="10.109375" style="82" bestFit="1" customWidth="1"/>
    <col min="14" max="23" width="10.109375" bestFit="1" customWidth="1"/>
  </cols>
  <sheetData>
    <row r="1" spans="1:23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3" x14ac:dyDescent="0.25">
      <c r="A2" s="39" t="s">
        <v>11</v>
      </c>
      <c r="B2" s="26">
        <f t="shared" ref="B2:B12" si="0">IFERROR(((E2-F2)/F2),"")</f>
        <v>-1</v>
      </c>
      <c r="C2" s="49">
        <v>-32</v>
      </c>
      <c r="D2" s="37">
        <v>-921</v>
      </c>
      <c r="E2" s="42">
        <v>0</v>
      </c>
      <c r="F2" s="85">
        <v>18</v>
      </c>
      <c r="G2" s="85">
        <v>1589</v>
      </c>
      <c r="H2" s="85">
        <v>1751</v>
      </c>
      <c r="I2" s="85">
        <v>1414</v>
      </c>
      <c r="J2" s="85">
        <v>666</v>
      </c>
      <c r="K2" s="85">
        <v>556</v>
      </c>
      <c r="L2" s="85">
        <v>0</v>
      </c>
      <c r="M2" s="85">
        <v>14</v>
      </c>
      <c r="N2" s="1"/>
      <c r="O2" s="1"/>
      <c r="P2" s="1"/>
      <c r="Q2" s="1"/>
      <c r="R2" s="1"/>
      <c r="S2" s="1"/>
      <c r="T2" s="1"/>
      <c r="U2" s="1"/>
      <c r="V2" s="1"/>
      <c r="W2" s="28"/>
    </row>
    <row r="3" spans="1:23" x14ac:dyDescent="0.25">
      <c r="A3" s="20" t="s">
        <v>9</v>
      </c>
      <c r="B3" s="26">
        <f t="shared" si="0"/>
        <v>-0.93103448275862066</v>
      </c>
      <c r="C3" s="49">
        <v>-437</v>
      </c>
      <c r="D3" s="85">
        <v>-957</v>
      </c>
      <c r="E3" s="115">
        <v>10</v>
      </c>
      <c r="F3" s="85">
        <v>145</v>
      </c>
      <c r="G3" s="85">
        <v>879</v>
      </c>
      <c r="H3" s="85">
        <v>461</v>
      </c>
      <c r="I3" s="85">
        <v>564</v>
      </c>
      <c r="J3" s="85">
        <v>379</v>
      </c>
      <c r="K3" s="85">
        <v>70</v>
      </c>
      <c r="L3" s="85">
        <v>73</v>
      </c>
      <c r="M3" s="85">
        <v>90</v>
      </c>
      <c r="N3" s="1">
        <v>570</v>
      </c>
      <c r="O3" s="1">
        <v>28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14</v>
      </c>
      <c r="V3" s="1">
        <v>0</v>
      </c>
      <c r="W3" s="28">
        <v>0</v>
      </c>
    </row>
    <row r="4" spans="1:23" x14ac:dyDescent="0.25">
      <c r="A4" s="20" t="s">
        <v>14</v>
      </c>
      <c r="B4" s="26" t="str">
        <f t="shared" si="0"/>
        <v/>
      </c>
      <c r="C4" s="49">
        <v>0</v>
      </c>
      <c r="D4" s="85">
        <v>0</v>
      </c>
      <c r="E4" s="115">
        <v>0</v>
      </c>
      <c r="F4" s="85">
        <v>0</v>
      </c>
      <c r="G4" s="85">
        <v>0</v>
      </c>
      <c r="H4" s="85">
        <v>25</v>
      </c>
      <c r="I4" s="85">
        <v>0</v>
      </c>
      <c r="J4" s="85">
        <v>0</v>
      </c>
      <c r="K4" s="85">
        <v>249</v>
      </c>
      <c r="L4" s="85">
        <v>87</v>
      </c>
      <c r="M4" s="85">
        <v>2</v>
      </c>
      <c r="N4" s="1">
        <v>80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3</v>
      </c>
      <c r="V4" s="1">
        <v>0</v>
      </c>
      <c r="W4" s="28">
        <v>8</v>
      </c>
    </row>
    <row r="5" spans="1:23" x14ac:dyDescent="0.25">
      <c r="A5" s="20" t="s">
        <v>3</v>
      </c>
      <c r="B5" s="26">
        <f t="shared" si="0"/>
        <v>-0.9829282407407407</v>
      </c>
      <c r="C5" s="49">
        <v>-1345</v>
      </c>
      <c r="D5" s="85">
        <v>-1574</v>
      </c>
      <c r="E5" s="115">
        <v>59</v>
      </c>
      <c r="F5" s="85">
        <v>3456</v>
      </c>
      <c r="G5" s="85">
        <v>1207</v>
      </c>
      <c r="H5" s="85">
        <v>1476</v>
      </c>
      <c r="I5" s="85">
        <v>2687</v>
      </c>
      <c r="J5" s="85">
        <v>2725</v>
      </c>
      <c r="K5" s="85">
        <v>4671</v>
      </c>
      <c r="L5" s="85">
        <v>2099</v>
      </c>
      <c r="M5" s="85">
        <v>1999</v>
      </c>
      <c r="N5" s="1">
        <v>3072</v>
      </c>
      <c r="O5" s="1">
        <v>2390</v>
      </c>
      <c r="P5" s="1">
        <v>1947</v>
      </c>
      <c r="Q5" s="1">
        <v>0</v>
      </c>
      <c r="R5" s="1">
        <v>0</v>
      </c>
      <c r="S5" s="1">
        <v>802</v>
      </c>
      <c r="T5" s="1">
        <v>1168</v>
      </c>
      <c r="U5" s="1">
        <v>1361</v>
      </c>
      <c r="V5" s="1">
        <v>0</v>
      </c>
      <c r="W5" s="28">
        <v>919</v>
      </c>
    </row>
    <row r="6" spans="1:23" x14ac:dyDescent="0.25">
      <c r="A6" s="20" t="s">
        <v>10</v>
      </c>
      <c r="B6" s="26">
        <f t="shared" si="0"/>
        <v>-0.74545454545454548</v>
      </c>
      <c r="C6" s="49">
        <v>-206</v>
      </c>
      <c r="D6" s="85">
        <v>-425</v>
      </c>
      <c r="E6" s="115">
        <v>28</v>
      </c>
      <c r="F6" s="85">
        <v>110</v>
      </c>
      <c r="G6" s="85">
        <v>324</v>
      </c>
      <c r="H6" s="85">
        <v>1393</v>
      </c>
      <c r="I6" s="85">
        <v>931</v>
      </c>
      <c r="J6" s="85">
        <v>268</v>
      </c>
      <c r="K6" s="85">
        <v>2076</v>
      </c>
      <c r="L6" s="85">
        <v>61</v>
      </c>
      <c r="M6" s="85">
        <v>455</v>
      </c>
      <c r="N6" s="1">
        <v>1828</v>
      </c>
      <c r="O6" s="1">
        <v>494</v>
      </c>
      <c r="P6" s="1">
        <v>1576</v>
      </c>
      <c r="Q6" s="1">
        <v>0</v>
      </c>
      <c r="R6" s="1">
        <v>0</v>
      </c>
      <c r="S6" s="1">
        <v>502</v>
      </c>
      <c r="T6" s="1">
        <v>3308</v>
      </c>
      <c r="U6" s="1">
        <v>2352</v>
      </c>
      <c r="V6" s="1">
        <v>0</v>
      </c>
      <c r="W6" s="28">
        <v>1689</v>
      </c>
    </row>
    <row r="7" spans="1:23" x14ac:dyDescent="0.25">
      <c r="A7" s="20" t="s">
        <v>27</v>
      </c>
      <c r="B7" s="122">
        <f t="shared" si="0"/>
        <v>-1</v>
      </c>
      <c r="C7" s="112">
        <v>-6</v>
      </c>
      <c r="D7" s="85">
        <v>-692</v>
      </c>
      <c r="E7" s="115">
        <v>0</v>
      </c>
      <c r="F7" s="85">
        <v>15</v>
      </c>
      <c r="G7" s="85">
        <v>1326</v>
      </c>
      <c r="H7" s="85">
        <v>1184</v>
      </c>
      <c r="I7" s="85">
        <v>1050</v>
      </c>
      <c r="J7" s="85">
        <v>25</v>
      </c>
      <c r="K7" s="85">
        <v>763</v>
      </c>
      <c r="L7" s="85">
        <v>68</v>
      </c>
      <c r="M7" s="85">
        <v>873</v>
      </c>
      <c r="N7" s="1">
        <v>611</v>
      </c>
      <c r="O7" s="1">
        <v>49</v>
      </c>
      <c r="P7" s="1">
        <v>558</v>
      </c>
      <c r="Q7" s="1">
        <v>0</v>
      </c>
      <c r="R7" s="1">
        <v>0</v>
      </c>
      <c r="S7" s="1">
        <v>205</v>
      </c>
      <c r="T7" s="1">
        <v>195</v>
      </c>
      <c r="U7" s="1">
        <v>148</v>
      </c>
      <c r="V7" s="1">
        <v>0</v>
      </c>
      <c r="W7" s="28">
        <v>75</v>
      </c>
    </row>
    <row r="8" spans="1:23" x14ac:dyDescent="0.25">
      <c r="A8" s="20" t="s">
        <v>19</v>
      </c>
      <c r="B8" s="122">
        <f t="shared" si="0"/>
        <v>-1</v>
      </c>
      <c r="C8" s="112">
        <v>-372</v>
      </c>
      <c r="D8" s="85">
        <v>-146</v>
      </c>
      <c r="E8" s="115">
        <v>0</v>
      </c>
      <c r="F8" s="85">
        <v>214</v>
      </c>
      <c r="G8" s="85">
        <v>110</v>
      </c>
      <c r="H8" s="85">
        <v>327</v>
      </c>
      <c r="I8" s="85">
        <v>0</v>
      </c>
      <c r="J8" s="85">
        <v>177</v>
      </c>
      <c r="K8" s="85">
        <v>328</v>
      </c>
      <c r="L8" s="85">
        <v>120</v>
      </c>
      <c r="M8" s="85">
        <v>0</v>
      </c>
      <c r="N8" s="1">
        <v>172</v>
      </c>
      <c r="O8" s="1">
        <v>0</v>
      </c>
      <c r="P8" s="1">
        <v>0</v>
      </c>
      <c r="Q8" s="1">
        <v>0</v>
      </c>
      <c r="R8" s="1">
        <v>0</v>
      </c>
      <c r="S8" s="1">
        <v>19</v>
      </c>
      <c r="T8" s="1">
        <v>30</v>
      </c>
      <c r="U8" s="1">
        <v>0</v>
      </c>
      <c r="V8" s="1">
        <v>0</v>
      </c>
      <c r="W8" s="28">
        <v>0</v>
      </c>
    </row>
    <row r="9" spans="1:23" x14ac:dyDescent="0.25">
      <c r="A9" s="39" t="s">
        <v>91</v>
      </c>
      <c r="B9" s="122">
        <f t="shared" si="0"/>
        <v>-1</v>
      </c>
      <c r="C9" s="112">
        <v>-6</v>
      </c>
      <c r="D9" s="85">
        <v>-82</v>
      </c>
      <c r="E9" s="115">
        <v>0</v>
      </c>
      <c r="F9" s="85">
        <v>8</v>
      </c>
      <c r="G9" s="85">
        <v>8</v>
      </c>
      <c r="H9" s="85">
        <v>84</v>
      </c>
      <c r="I9" s="85">
        <v>319</v>
      </c>
      <c r="J9" s="85">
        <v>0</v>
      </c>
      <c r="K9" s="85">
        <v>237</v>
      </c>
      <c r="L9" s="85">
        <v>0</v>
      </c>
      <c r="M9" s="85">
        <v>0</v>
      </c>
      <c r="N9" s="1">
        <v>84</v>
      </c>
      <c r="O9" s="1">
        <v>135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19</v>
      </c>
      <c r="V9" s="1">
        <v>0</v>
      </c>
      <c r="W9" s="28">
        <v>0</v>
      </c>
    </row>
    <row r="10" spans="1:23" x14ac:dyDescent="0.25">
      <c r="A10" s="20" t="s">
        <v>35</v>
      </c>
      <c r="B10" s="122" t="str">
        <f t="shared" si="0"/>
        <v/>
      </c>
      <c r="C10" s="112">
        <v>0</v>
      </c>
      <c r="D10" s="85">
        <v>0</v>
      </c>
      <c r="E10" s="11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28">
        <v>0</v>
      </c>
    </row>
    <row r="11" spans="1:23" ht="13.8" thickBot="1" x14ac:dyDescent="0.3">
      <c r="A11" s="22" t="s">
        <v>60</v>
      </c>
      <c r="B11" s="139">
        <f t="shared" si="0"/>
        <v>-1</v>
      </c>
      <c r="C11" s="113">
        <v>-444</v>
      </c>
      <c r="D11" s="86">
        <v>-446</v>
      </c>
      <c r="E11" s="108">
        <v>0</v>
      </c>
      <c r="F11" s="86">
        <v>1900</v>
      </c>
      <c r="G11" s="86">
        <v>1196</v>
      </c>
      <c r="H11" s="86">
        <v>1099</v>
      </c>
      <c r="I11" s="86">
        <v>768</v>
      </c>
      <c r="J11" s="86">
        <v>390</v>
      </c>
      <c r="K11" s="86">
        <v>788</v>
      </c>
      <c r="L11" s="86">
        <v>160</v>
      </c>
      <c r="M11" s="107">
        <v>229</v>
      </c>
      <c r="N11" s="80">
        <v>1868</v>
      </c>
      <c r="O11" s="80">
        <v>65</v>
      </c>
      <c r="P11" s="80">
        <v>15</v>
      </c>
      <c r="Q11" s="80">
        <v>0</v>
      </c>
      <c r="R11" s="80">
        <v>0</v>
      </c>
      <c r="S11" s="80">
        <v>17</v>
      </c>
      <c r="T11" s="80">
        <v>5</v>
      </c>
      <c r="U11" s="80">
        <v>20</v>
      </c>
      <c r="V11" s="10">
        <v>0</v>
      </c>
      <c r="W11" s="30">
        <v>520</v>
      </c>
    </row>
    <row r="12" spans="1:23" ht="13.8" thickBot="1" x14ac:dyDescent="0.3">
      <c r="A12" s="31" t="s">
        <v>23</v>
      </c>
      <c r="B12" s="140">
        <f t="shared" si="0"/>
        <v>-0.98346403000340943</v>
      </c>
      <c r="C12" s="141">
        <v>-2848</v>
      </c>
      <c r="D12" s="87">
        <v>-5243</v>
      </c>
      <c r="E12" s="109">
        <f t="shared" ref="E12" si="1">SUM(E2:E11)</f>
        <v>97</v>
      </c>
      <c r="F12" s="87">
        <f t="shared" ref="F12:K12" si="2">SUM(F2:F11)</f>
        <v>5866</v>
      </c>
      <c r="G12" s="87">
        <f t="shared" si="2"/>
        <v>6639</v>
      </c>
      <c r="H12" s="87">
        <f t="shared" si="2"/>
        <v>7800</v>
      </c>
      <c r="I12" s="87">
        <f t="shared" si="2"/>
        <v>7733</v>
      </c>
      <c r="J12" s="87">
        <f t="shared" si="2"/>
        <v>4630</v>
      </c>
      <c r="K12" s="87">
        <f t="shared" si="2"/>
        <v>9738</v>
      </c>
      <c r="L12" s="87">
        <f>SUM(L3:L11)</f>
        <v>2668</v>
      </c>
      <c r="M12" s="87">
        <f>SUM(M2:M11)</f>
        <v>3662</v>
      </c>
      <c r="N12" s="33">
        <f>SUM(N3:N11)</f>
        <v>8285</v>
      </c>
      <c r="O12" s="33">
        <f>SUM(O3:O11)</f>
        <v>3161</v>
      </c>
      <c r="P12" s="33">
        <f>SUM(P3:P11)</f>
        <v>4096</v>
      </c>
      <c r="Q12" s="33">
        <v>0</v>
      </c>
      <c r="R12" s="33">
        <f t="shared" ref="R12:W12" si="3">SUM(R3:R11)</f>
        <v>0</v>
      </c>
      <c r="S12" s="33">
        <f t="shared" si="3"/>
        <v>1545</v>
      </c>
      <c r="T12" s="33">
        <f t="shared" si="3"/>
        <v>4706</v>
      </c>
      <c r="U12" s="33">
        <f t="shared" si="3"/>
        <v>3917</v>
      </c>
      <c r="V12" s="33">
        <f t="shared" si="3"/>
        <v>0</v>
      </c>
      <c r="W12" s="34">
        <f t="shared" si="3"/>
        <v>3211</v>
      </c>
    </row>
    <row r="13" spans="1:23" x14ac:dyDescent="0.25">
      <c r="B13" s="142"/>
      <c r="C13" s="142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23" ht="13.8" thickBot="1" x14ac:dyDescent="0.3">
      <c r="B14" s="143"/>
      <c r="C14" s="143"/>
    </row>
    <row r="15" spans="1:23" ht="13.8" thickBot="1" x14ac:dyDescent="0.3">
      <c r="A15" s="52" t="s">
        <v>25</v>
      </c>
      <c r="B15" s="118" t="s">
        <v>171</v>
      </c>
      <c r="C15" s="48" t="s">
        <v>172</v>
      </c>
      <c r="D15" s="78" t="s">
        <v>169</v>
      </c>
      <c r="E15" s="104">
        <v>45809</v>
      </c>
      <c r="F15" s="110">
        <v>45444</v>
      </c>
      <c r="G15" s="110">
        <v>45078</v>
      </c>
      <c r="H15" s="110">
        <v>44713</v>
      </c>
      <c r="I15" s="110">
        <v>44348</v>
      </c>
      <c r="J15" s="110">
        <v>43983</v>
      </c>
      <c r="K15" s="110">
        <v>43617</v>
      </c>
      <c r="L15" s="110">
        <v>43252</v>
      </c>
      <c r="M15" s="24">
        <v>42887</v>
      </c>
      <c r="N15" s="24">
        <v>42522</v>
      </c>
      <c r="O15" s="24">
        <v>42156</v>
      </c>
      <c r="P15" s="24">
        <v>41791</v>
      </c>
      <c r="Q15" s="24">
        <v>41426</v>
      </c>
      <c r="R15" s="24">
        <v>41061</v>
      </c>
      <c r="S15" s="24">
        <v>40695</v>
      </c>
      <c r="T15" s="24">
        <v>40330</v>
      </c>
      <c r="U15" s="24">
        <v>39965</v>
      </c>
      <c r="V15" s="24">
        <v>39600</v>
      </c>
      <c r="W15" s="25">
        <v>39234</v>
      </c>
    </row>
    <row r="16" spans="1:23" x14ac:dyDescent="0.25">
      <c r="A16" s="53" t="s">
        <v>7</v>
      </c>
      <c r="B16" s="131">
        <f t="shared" ref="B16:B21" si="4">IFERROR(((E16-F16)/F16),"")</f>
        <v>-1</v>
      </c>
      <c r="C16" s="132">
        <v>-219</v>
      </c>
      <c r="D16" s="56">
        <v>-329</v>
      </c>
      <c r="E16" s="55">
        <v>0</v>
      </c>
      <c r="F16" s="56">
        <v>211</v>
      </c>
      <c r="G16" s="56">
        <v>0</v>
      </c>
      <c r="H16" s="56">
        <v>3</v>
      </c>
      <c r="I16" s="56">
        <v>0</v>
      </c>
      <c r="J16" s="56">
        <v>0</v>
      </c>
      <c r="K16" s="56">
        <v>340</v>
      </c>
      <c r="L16" s="56">
        <v>300</v>
      </c>
      <c r="M16" s="56">
        <v>210</v>
      </c>
      <c r="N16" s="56">
        <v>500</v>
      </c>
      <c r="O16" s="56">
        <v>0</v>
      </c>
      <c r="P16" s="56">
        <v>265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67">
        <v>0</v>
      </c>
    </row>
    <row r="17" spans="1:24" x14ac:dyDescent="0.25">
      <c r="A17" s="53" t="s">
        <v>43</v>
      </c>
      <c r="B17" s="131" t="str">
        <f t="shared" si="4"/>
        <v/>
      </c>
      <c r="C17" s="132">
        <v>0</v>
      </c>
      <c r="D17" s="56">
        <v>0</v>
      </c>
      <c r="E17" s="55">
        <v>0</v>
      </c>
      <c r="F17" s="56">
        <v>0</v>
      </c>
      <c r="G17" s="56">
        <v>0</v>
      </c>
      <c r="H17" s="56"/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67">
        <v>0</v>
      </c>
    </row>
    <row r="18" spans="1:24" x14ac:dyDescent="0.25">
      <c r="A18" s="53" t="s">
        <v>176</v>
      </c>
      <c r="B18" s="131" t="str">
        <f t="shared" si="4"/>
        <v/>
      </c>
      <c r="C18" s="132">
        <v>0</v>
      </c>
      <c r="D18" s="56">
        <v>0</v>
      </c>
      <c r="E18" s="55">
        <v>0</v>
      </c>
      <c r="F18" s="56">
        <v>0</v>
      </c>
      <c r="G18" s="56">
        <v>0</v>
      </c>
      <c r="H18" s="56"/>
      <c r="I18" s="56">
        <v>2</v>
      </c>
      <c r="J18" s="56">
        <v>0</v>
      </c>
      <c r="K18" s="56">
        <v>7</v>
      </c>
      <c r="L18" s="56">
        <v>0</v>
      </c>
      <c r="M18" s="56">
        <v>0</v>
      </c>
      <c r="N18" s="56">
        <v>28</v>
      </c>
      <c r="O18" s="56"/>
      <c r="P18" s="56">
        <v>0</v>
      </c>
      <c r="Q18" s="56"/>
      <c r="R18" s="56"/>
      <c r="S18" s="56"/>
      <c r="T18" s="56"/>
      <c r="U18" s="56"/>
      <c r="V18" s="56"/>
      <c r="W18" s="67"/>
    </row>
    <row r="19" spans="1:24" x14ac:dyDescent="0.25">
      <c r="A19" s="53" t="s">
        <v>163</v>
      </c>
      <c r="B19" s="131" t="str">
        <f t="shared" si="4"/>
        <v/>
      </c>
      <c r="C19" s="132">
        <v>0</v>
      </c>
      <c r="D19" s="56">
        <v>0</v>
      </c>
      <c r="E19" s="55">
        <v>0</v>
      </c>
      <c r="F19" s="56">
        <v>0</v>
      </c>
      <c r="G19" s="56">
        <v>0</v>
      </c>
      <c r="H19" s="56"/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/>
      <c r="P19" s="56">
        <v>0</v>
      </c>
      <c r="Q19" s="56"/>
      <c r="R19" s="56"/>
      <c r="S19" s="56"/>
      <c r="T19" s="56"/>
      <c r="U19" s="56"/>
      <c r="V19" s="56"/>
      <c r="W19" s="67"/>
    </row>
    <row r="20" spans="1:24" ht="13.8" thickBot="1" x14ac:dyDescent="0.3">
      <c r="A20" s="57" t="s">
        <v>6</v>
      </c>
      <c r="B20" s="131" t="str">
        <f t="shared" si="4"/>
        <v/>
      </c>
      <c r="C20" s="132">
        <v>0</v>
      </c>
      <c r="D20" s="56">
        <v>0</v>
      </c>
      <c r="E20" s="55">
        <v>0</v>
      </c>
      <c r="F20" s="56">
        <v>0</v>
      </c>
      <c r="G20" s="56">
        <v>0</v>
      </c>
      <c r="H20" s="56"/>
      <c r="I20" s="56">
        <v>0</v>
      </c>
      <c r="J20" s="56">
        <v>0</v>
      </c>
      <c r="K20" s="56">
        <v>6</v>
      </c>
      <c r="L20" s="56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8">
        <v>0</v>
      </c>
      <c r="X20" s="1"/>
    </row>
    <row r="21" spans="1:24" ht="13.8" thickBot="1" x14ac:dyDescent="0.3">
      <c r="A21" s="61" t="s">
        <v>94</v>
      </c>
      <c r="B21" s="62">
        <f t="shared" si="4"/>
        <v>-1</v>
      </c>
      <c r="C21" s="144">
        <v>-219</v>
      </c>
      <c r="D21" s="83">
        <v>-329</v>
      </c>
      <c r="E21" s="63">
        <f t="shared" ref="E21" si="5">SUM(E16:E20)</f>
        <v>0</v>
      </c>
      <c r="F21" s="83">
        <f t="shared" ref="F21:L21" si="6">SUM(F16:F20)</f>
        <v>211</v>
      </c>
      <c r="G21" s="83">
        <f t="shared" si="6"/>
        <v>0</v>
      </c>
      <c r="H21" s="83">
        <f t="shared" si="6"/>
        <v>3</v>
      </c>
      <c r="I21" s="83">
        <f t="shared" si="6"/>
        <v>2</v>
      </c>
      <c r="J21" s="83">
        <f t="shared" si="6"/>
        <v>0</v>
      </c>
      <c r="K21" s="83">
        <f t="shared" si="6"/>
        <v>353</v>
      </c>
      <c r="L21" s="83">
        <f t="shared" si="6"/>
        <v>300</v>
      </c>
      <c r="M21" s="83">
        <v>210</v>
      </c>
      <c r="N21" s="83">
        <f>SUM(N16:N20)</f>
        <v>528</v>
      </c>
      <c r="O21" s="83">
        <v>0</v>
      </c>
      <c r="P21" s="83">
        <f>SUM(P16:P20)</f>
        <v>265</v>
      </c>
      <c r="Q21" s="83">
        <v>0</v>
      </c>
      <c r="R21" s="83">
        <v>0</v>
      </c>
      <c r="S21" s="83">
        <v>0</v>
      </c>
      <c r="T21" s="83">
        <f>SUM(T16:T20)</f>
        <v>0</v>
      </c>
      <c r="U21" s="83">
        <f>SUM(U16:U20)</f>
        <v>0</v>
      </c>
      <c r="V21" s="83">
        <f>SUM(V16:V20)</f>
        <v>0</v>
      </c>
      <c r="W21" s="84">
        <f>SUM(W16:W20)</f>
        <v>0</v>
      </c>
      <c r="X21" s="1"/>
    </row>
  </sheetData>
  <conditionalFormatting sqref="E1">
    <cfRule type="expression" dxfId="20" priority="2">
      <formula>ISBLANK(XFD1)=FALSE</formula>
    </cfRule>
  </conditionalFormatting>
  <conditionalFormatting sqref="E15">
    <cfRule type="expression" dxfId="19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  <ignoredErrors>
    <ignoredError sqref="H12 H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zoomScaleNormal="100"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44140625" customWidth="1"/>
    <col min="13" max="23" width="10.109375" bestFit="1" customWidth="1"/>
  </cols>
  <sheetData>
    <row r="1" spans="1:24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4">
        <v>40330</v>
      </c>
      <c r="U1" s="24">
        <v>39965</v>
      </c>
      <c r="V1" s="24">
        <v>39600</v>
      </c>
      <c r="W1" s="25">
        <v>39234</v>
      </c>
    </row>
    <row r="2" spans="1:24" x14ac:dyDescent="0.25">
      <c r="A2" s="39" t="s">
        <v>4</v>
      </c>
      <c r="B2" s="119" t="str">
        <f t="shared" ref="B2:B20" si="0">IFERROR(((E2-F2)/F2),"")</f>
        <v/>
      </c>
      <c r="C2" s="120"/>
      <c r="D2" s="37">
        <v>0</v>
      </c>
      <c r="E2" s="42"/>
      <c r="F2" s="37"/>
      <c r="G2" s="37"/>
      <c r="H2" s="37"/>
      <c r="I2" s="37">
        <v>0</v>
      </c>
      <c r="J2" s="37">
        <v>0</v>
      </c>
      <c r="K2" s="37"/>
      <c r="L2" s="37">
        <v>0</v>
      </c>
      <c r="M2" s="37">
        <v>0</v>
      </c>
      <c r="N2" s="37">
        <v>0</v>
      </c>
      <c r="O2" s="37">
        <v>0</v>
      </c>
      <c r="P2" s="37"/>
      <c r="Q2" s="37"/>
      <c r="R2" s="37"/>
      <c r="S2" s="37"/>
      <c r="T2" s="37"/>
      <c r="U2" s="37"/>
      <c r="V2" s="37"/>
      <c r="W2" s="65"/>
    </row>
    <row r="3" spans="1:24" x14ac:dyDescent="0.25">
      <c r="A3" s="39" t="s">
        <v>99</v>
      </c>
      <c r="B3" s="119" t="str">
        <f t="shared" si="0"/>
        <v/>
      </c>
      <c r="C3" s="120"/>
      <c r="D3" s="37">
        <v>0</v>
      </c>
      <c r="E3" s="42"/>
      <c r="F3" s="37"/>
      <c r="G3" s="37"/>
      <c r="H3" s="37"/>
      <c r="I3" s="37">
        <v>0</v>
      </c>
      <c r="J3" s="37">
        <v>0</v>
      </c>
      <c r="K3" s="37"/>
      <c r="L3" s="37">
        <v>0</v>
      </c>
      <c r="M3" s="37">
        <v>0</v>
      </c>
      <c r="N3" s="37">
        <v>0</v>
      </c>
      <c r="O3" s="37">
        <v>0</v>
      </c>
      <c r="P3" s="37"/>
      <c r="Q3" s="37"/>
      <c r="R3" s="37"/>
      <c r="S3" s="37"/>
      <c r="T3" s="37"/>
      <c r="U3" s="37"/>
      <c r="V3" s="37"/>
      <c r="W3" s="65"/>
    </row>
    <row r="4" spans="1:24" x14ac:dyDescent="0.25">
      <c r="A4" s="39" t="s">
        <v>5</v>
      </c>
      <c r="B4" s="119" t="str">
        <f t="shared" si="0"/>
        <v/>
      </c>
      <c r="C4" s="120"/>
      <c r="D4" s="37">
        <v>0</v>
      </c>
      <c r="E4" s="42"/>
      <c r="F4" s="37"/>
      <c r="G4" s="37"/>
      <c r="H4" s="37"/>
      <c r="I4" s="37">
        <v>0</v>
      </c>
      <c r="J4" s="37">
        <v>0</v>
      </c>
      <c r="K4" s="37"/>
      <c r="L4" s="37">
        <v>0</v>
      </c>
      <c r="M4" s="37">
        <v>0</v>
      </c>
      <c r="N4" s="37">
        <v>0</v>
      </c>
      <c r="O4" s="37">
        <v>0</v>
      </c>
      <c r="P4" s="37"/>
      <c r="Q4" s="37"/>
      <c r="R4" s="37"/>
      <c r="S4" s="37"/>
      <c r="T4" s="37"/>
      <c r="U4" s="37"/>
      <c r="V4" s="37"/>
      <c r="W4" s="65"/>
    </row>
    <row r="5" spans="1:24" x14ac:dyDescent="0.25">
      <c r="A5" s="39" t="s">
        <v>2</v>
      </c>
      <c r="B5" s="119" t="str">
        <f t="shared" si="0"/>
        <v/>
      </c>
      <c r="C5" s="120"/>
      <c r="D5" s="37">
        <v>0</v>
      </c>
      <c r="E5" s="42"/>
      <c r="F5" s="37"/>
      <c r="G5" s="37"/>
      <c r="H5" s="37"/>
      <c r="I5" s="37">
        <v>0</v>
      </c>
      <c r="J5" s="37">
        <v>0</v>
      </c>
      <c r="K5" s="37">
        <v>30</v>
      </c>
      <c r="L5" s="37">
        <v>0</v>
      </c>
      <c r="M5" s="37">
        <v>0</v>
      </c>
      <c r="N5" s="37">
        <v>0</v>
      </c>
      <c r="O5" s="37">
        <v>0</v>
      </c>
      <c r="P5" s="37"/>
      <c r="Q5" s="37"/>
      <c r="R5" s="37"/>
      <c r="S5" s="37"/>
      <c r="T5" s="37"/>
      <c r="U5" s="37"/>
      <c r="V5" s="37"/>
      <c r="W5" s="65"/>
    </row>
    <row r="6" spans="1:24" x14ac:dyDescent="0.25">
      <c r="A6" s="39" t="s">
        <v>12</v>
      </c>
      <c r="B6" s="119" t="str">
        <f t="shared" si="0"/>
        <v/>
      </c>
      <c r="C6" s="120"/>
      <c r="D6" s="37">
        <v>0</v>
      </c>
      <c r="E6" s="42"/>
      <c r="F6" s="37"/>
      <c r="G6" s="37"/>
      <c r="H6" s="37"/>
      <c r="I6" s="37">
        <v>0</v>
      </c>
      <c r="J6" s="37">
        <v>0</v>
      </c>
      <c r="K6" s="37"/>
      <c r="L6" s="37">
        <v>0</v>
      </c>
      <c r="M6" s="37">
        <v>0</v>
      </c>
      <c r="N6" s="37">
        <v>0</v>
      </c>
      <c r="O6" s="37">
        <v>0</v>
      </c>
      <c r="P6" s="37"/>
      <c r="Q6" s="37"/>
      <c r="R6" s="37"/>
      <c r="S6" s="37"/>
      <c r="T6" s="37"/>
      <c r="U6" s="37"/>
      <c r="V6" s="37"/>
      <c r="W6" s="65"/>
    </row>
    <row r="7" spans="1:24" x14ac:dyDescent="0.25">
      <c r="A7" s="39" t="s">
        <v>9</v>
      </c>
      <c r="B7" s="119" t="str">
        <f t="shared" si="0"/>
        <v/>
      </c>
      <c r="C7" s="120"/>
      <c r="D7" s="37">
        <v>0</v>
      </c>
      <c r="E7" s="42"/>
      <c r="F7" s="37"/>
      <c r="G7" s="37"/>
      <c r="H7" s="37"/>
      <c r="I7" s="37">
        <v>0</v>
      </c>
      <c r="J7" s="37">
        <v>0</v>
      </c>
      <c r="K7" s="37">
        <v>40</v>
      </c>
      <c r="L7" s="37">
        <v>0</v>
      </c>
      <c r="M7" s="37">
        <v>0</v>
      </c>
      <c r="N7" s="37">
        <v>0</v>
      </c>
      <c r="O7" s="37">
        <v>0</v>
      </c>
      <c r="P7" s="37"/>
      <c r="Q7" s="37"/>
      <c r="R7" s="37"/>
      <c r="S7" s="37"/>
      <c r="T7" s="37"/>
      <c r="U7" s="37"/>
      <c r="V7" s="37"/>
      <c r="W7" s="65"/>
    </row>
    <row r="8" spans="1:24" x14ac:dyDescent="0.25">
      <c r="A8" s="39" t="s">
        <v>14</v>
      </c>
      <c r="B8" s="119" t="str">
        <f t="shared" si="0"/>
        <v/>
      </c>
      <c r="C8" s="120"/>
      <c r="D8" s="37">
        <v>0</v>
      </c>
      <c r="E8" s="42"/>
      <c r="F8" s="37"/>
      <c r="G8" s="37"/>
      <c r="H8" s="37"/>
      <c r="I8" s="37">
        <v>0</v>
      </c>
      <c r="J8" s="37">
        <v>0</v>
      </c>
      <c r="K8" s="37"/>
      <c r="L8" s="37">
        <v>0</v>
      </c>
      <c r="M8" s="37">
        <v>0</v>
      </c>
      <c r="N8" s="37">
        <v>0</v>
      </c>
      <c r="O8" s="37">
        <v>0</v>
      </c>
      <c r="P8" s="37"/>
      <c r="Q8" s="37"/>
      <c r="R8" s="37"/>
      <c r="S8" s="37"/>
      <c r="T8" s="37"/>
      <c r="U8" s="37"/>
      <c r="V8" s="37"/>
      <c r="W8" s="65"/>
    </row>
    <row r="9" spans="1:24" x14ac:dyDescent="0.25">
      <c r="A9" s="39" t="s">
        <v>17</v>
      </c>
      <c r="B9" s="119" t="str">
        <f t="shared" si="0"/>
        <v/>
      </c>
      <c r="C9" s="120"/>
      <c r="D9" s="37">
        <v>0</v>
      </c>
      <c r="E9" s="42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65"/>
    </row>
    <row r="10" spans="1:24" x14ac:dyDescent="0.25">
      <c r="A10" s="39" t="s">
        <v>15</v>
      </c>
      <c r="B10" s="119" t="str">
        <f t="shared" si="0"/>
        <v/>
      </c>
      <c r="C10" s="120"/>
      <c r="D10" s="37">
        <v>0</v>
      </c>
      <c r="E10" s="42"/>
      <c r="F10" s="37"/>
      <c r="G10" s="37"/>
      <c r="H10" s="37"/>
      <c r="I10" s="37">
        <v>0</v>
      </c>
      <c r="J10" s="37">
        <v>0</v>
      </c>
      <c r="K10" s="37"/>
      <c r="L10" s="37">
        <v>0</v>
      </c>
      <c r="M10" s="37">
        <v>0</v>
      </c>
      <c r="N10" s="37">
        <v>0</v>
      </c>
      <c r="O10" s="37">
        <v>0</v>
      </c>
      <c r="P10" s="37"/>
      <c r="Q10" s="37"/>
      <c r="R10" s="37"/>
      <c r="S10" s="37"/>
      <c r="T10" s="37"/>
      <c r="U10" s="37"/>
      <c r="V10" s="37"/>
      <c r="W10" s="65"/>
    </row>
    <row r="11" spans="1:24" x14ac:dyDescent="0.25">
      <c r="A11" s="39" t="s">
        <v>10</v>
      </c>
      <c r="B11" s="119" t="str">
        <f t="shared" si="0"/>
        <v/>
      </c>
      <c r="C11" s="120"/>
      <c r="D11" s="37">
        <v>0</v>
      </c>
      <c r="E11" s="42"/>
      <c r="F11" s="37"/>
      <c r="G11" s="37"/>
      <c r="H11" s="37"/>
      <c r="I11" s="37">
        <v>0</v>
      </c>
      <c r="J11" s="37">
        <v>0</v>
      </c>
      <c r="K11" s="37"/>
      <c r="L11" s="37">
        <v>0</v>
      </c>
      <c r="M11" s="37">
        <v>0</v>
      </c>
      <c r="N11" s="37">
        <v>0</v>
      </c>
      <c r="O11" s="37">
        <v>0</v>
      </c>
      <c r="P11" s="37"/>
      <c r="Q11" s="37"/>
      <c r="R11" s="37"/>
      <c r="S11" s="37"/>
      <c r="T11" s="37"/>
      <c r="U11" s="37"/>
      <c r="V11" s="37"/>
      <c r="W11" s="65"/>
      <c r="X11" s="1"/>
    </row>
    <row r="12" spans="1:24" x14ac:dyDescent="0.25">
      <c r="A12" s="39" t="s">
        <v>101</v>
      </c>
      <c r="B12" s="119" t="str">
        <f t="shared" si="0"/>
        <v/>
      </c>
      <c r="C12" s="120"/>
      <c r="D12" s="37">
        <v>0</v>
      </c>
      <c r="E12" s="42"/>
      <c r="F12" s="37"/>
      <c r="G12" s="37"/>
      <c r="H12" s="37"/>
      <c r="I12" s="37">
        <v>0</v>
      </c>
      <c r="J12" s="37">
        <v>0</v>
      </c>
      <c r="K12" s="37"/>
      <c r="L12" s="37">
        <v>0</v>
      </c>
      <c r="M12" s="37">
        <v>0</v>
      </c>
      <c r="N12" s="37">
        <v>0</v>
      </c>
      <c r="O12" s="37">
        <v>0</v>
      </c>
      <c r="P12" s="37"/>
      <c r="Q12" s="37"/>
      <c r="R12" s="37"/>
      <c r="S12" s="37"/>
      <c r="T12" s="37"/>
      <c r="U12" s="37"/>
      <c r="V12" s="37"/>
      <c r="W12" s="65"/>
      <c r="X12" s="1"/>
    </row>
    <row r="13" spans="1:24" x14ac:dyDescent="0.25">
      <c r="A13" s="39" t="s">
        <v>27</v>
      </c>
      <c r="B13" s="119" t="str">
        <f t="shared" si="0"/>
        <v/>
      </c>
      <c r="C13" s="120"/>
      <c r="D13" s="37">
        <v>0</v>
      </c>
      <c r="E13" s="42"/>
      <c r="F13" s="37"/>
      <c r="G13" s="37"/>
      <c r="H13" s="37">
        <v>21</v>
      </c>
      <c r="I13" s="37">
        <v>0</v>
      </c>
      <c r="J13" s="37">
        <v>0</v>
      </c>
      <c r="K13" s="37">
        <v>16</v>
      </c>
      <c r="L13" s="37">
        <v>0</v>
      </c>
      <c r="M13" s="37">
        <v>0</v>
      </c>
      <c r="N13" s="37">
        <v>0</v>
      </c>
      <c r="O13" s="37">
        <v>0</v>
      </c>
      <c r="P13" s="37"/>
      <c r="Q13" s="37"/>
      <c r="R13" s="37"/>
      <c r="S13" s="37"/>
      <c r="T13" s="37"/>
      <c r="U13" s="37"/>
      <c r="V13" s="37"/>
      <c r="W13" s="65"/>
      <c r="X13" s="1"/>
    </row>
    <row r="14" spans="1:24" x14ac:dyDescent="0.25">
      <c r="A14" s="39" t="s">
        <v>26</v>
      </c>
      <c r="B14" s="119" t="str">
        <f t="shared" si="0"/>
        <v/>
      </c>
      <c r="C14" s="120"/>
      <c r="D14" s="37">
        <v>0</v>
      </c>
      <c r="E14" s="42"/>
      <c r="F14" s="37"/>
      <c r="G14" s="37"/>
      <c r="H14" s="37">
        <v>386</v>
      </c>
      <c r="I14" s="37">
        <v>0</v>
      </c>
      <c r="J14" s="37">
        <v>0</v>
      </c>
      <c r="K14" s="37">
        <v>666</v>
      </c>
      <c r="L14" s="37">
        <v>0</v>
      </c>
      <c r="M14" s="37">
        <v>300</v>
      </c>
      <c r="N14" s="37">
        <v>509</v>
      </c>
      <c r="O14" s="37">
        <v>0</v>
      </c>
      <c r="P14" s="37"/>
      <c r="Q14" s="37"/>
      <c r="R14" s="37"/>
      <c r="S14" s="37"/>
      <c r="T14" s="37"/>
      <c r="U14" s="37"/>
      <c r="V14" s="37"/>
      <c r="W14" s="65"/>
    </row>
    <row r="15" spans="1:24" x14ac:dyDescent="0.25">
      <c r="A15" s="39" t="s">
        <v>100</v>
      </c>
      <c r="B15" s="119" t="str">
        <f t="shared" si="0"/>
        <v/>
      </c>
      <c r="C15" s="120"/>
      <c r="D15" s="37">
        <v>0</v>
      </c>
      <c r="E15" s="42"/>
      <c r="F15" s="37"/>
      <c r="G15" s="37"/>
      <c r="H15" s="37"/>
      <c r="I15" s="37">
        <v>0</v>
      </c>
      <c r="J15" s="37">
        <v>0</v>
      </c>
      <c r="K15" s="37"/>
      <c r="L15" s="37">
        <v>0</v>
      </c>
      <c r="M15" s="37">
        <v>0</v>
      </c>
      <c r="N15" s="37">
        <v>0</v>
      </c>
      <c r="O15" s="37">
        <v>0</v>
      </c>
      <c r="P15" s="37"/>
      <c r="Q15" s="37"/>
      <c r="R15" s="37"/>
      <c r="S15" s="37"/>
      <c r="T15" s="37"/>
      <c r="U15" s="37"/>
      <c r="V15" s="37"/>
      <c r="W15" s="65"/>
    </row>
    <row r="16" spans="1:24" x14ac:dyDescent="0.25">
      <c r="A16" s="39" t="s">
        <v>13</v>
      </c>
      <c r="B16" s="119" t="str">
        <f t="shared" si="0"/>
        <v/>
      </c>
      <c r="C16" s="120"/>
      <c r="D16" s="37">
        <v>0</v>
      </c>
      <c r="E16" s="42"/>
      <c r="F16" s="37"/>
      <c r="G16" s="37"/>
      <c r="H16" s="37"/>
      <c r="I16" s="37">
        <v>0</v>
      </c>
      <c r="J16" s="37">
        <v>0</v>
      </c>
      <c r="K16" s="37"/>
      <c r="L16" s="37">
        <v>0</v>
      </c>
      <c r="M16" s="37">
        <v>0</v>
      </c>
      <c r="N16" s="37">
        <v>0</v>
      </c>
      <c r="O16" s="37">
        <v>0</v>
      </c>
      <c r="P16" s="37"/>
      <c r="Q16" s="37"/>
      <c r="R16" s="37"/>
      <c r="S16" s="37"/>
      <c r="T16" s="37"/>
      <c r="U16" s="37"/>
      <c r="V16" s="37"/>
      <c r="W16" s="65"/>
    </row>
    <row r="17" spans="1:23" x14ac:dyDescent="0.25">
      <c r="A17" s="39" t="s">
        <v>35</v>
      </c>
      <c r="B17" s="119" t="str">
        <f t="shared" si="0"/>
        <v/>
      </c>
      <c r="C17" s="120"/>
      <c r="D17" s="37">
        <v>0</v>
      </c>
      <c r="E17" s="42"/>
      <c r="F17" s="37"/>
      <c r="G17" s="37"/>
      <c r="H17" s="37"/>
      <c r="I17" s="37">
        <v>0</v>
      </c>
      <c r="J17" s="37">
        <v>0</v>
      </c>
      <c r="K17" s="37"/>
      <c r="L17" s="37">
        <v>0</v>
      </c>
      <c r="M17" s="37">
        <v>0</v>
      </c>
      <c r="N17" s="37">
        <v>0</v>
      </c>
      <c r="O17" s="37">
        <v>0</v>
      </c>
      <c r="P17" s="37"/>
      <c r="Q17" s="37"/>
      <c r="R17" s="37"/>
      <c r="S17" s="37"/>
      <c r="T17" s="37"/>
      <c r="U17" s="37"/>
      <c r="V17" s="37"/>
      <c r="W17" s="65"/>
    </row>
    <row r="18" spans="1:23" x14ac:dyDescent="0.25">
      <c r="A18" s="39" t="s">
        <v>89</v>
      </c>
      <c r="B18" s="119" t="str">
        <f t="shared" si="0"/>
        <v/>
      </c>
      <c r="C18" s="120"/>
      <c r="D18" s="37">
        <v>0</v>
      </c>
      <c r="E18" s="42"/>
      <c r="F18" s="37"/>
      <c r="G18" s="37">
        <v>166</v>
      </c>
      <c r="H18" s="37">
        <v>521</v>
      </c>
      <c r="I18" s="37">
        <v>0</v>
      </c>
      <c r="J18" s="37">
        <v>0</v>
      </c>
      <c r="K18" s="37">
        <v>701</v>
      </c>
      <c r="L18" s="37">
        <v>0</v>
      </c>
      <c r="M18" s="37">
        <v>280</v>
      </c>
      <c r="N18" s="37">
        <v>447</v>
      </c>
      <c r="O18" s="37">
        <v>0</v>
      </c>
      <c r="P18" s="37"/>
      <c r="Q18" s="37"/>
      <c r="R18" s="37"/>
      <c r="S18" s="37"/>
      <c r="T18" s="37"/>
      <c r="U18" s="37"/>
      <c r="V18" s="37"/>
      <c r="W18" s="65"/>
    </row>
    <row r="19" spans="1:23" ht="13.8" thickBot="1" x14ac:dyDescent="0.3">
      <c r="A19" s="40" t="s">
        <v>6</v>
      </c>
      <c r="B19" s="145" t="str">
        <f t="shared" si="0"/>
        <v/>
      </c>
      <c r="C19" s="146"/>
      <c r="D19" s="37">
        <v>0</v>
      </c>
      <c r="E19" s="42"/>
      <c r="F19" s="37"/>
      <c r="G19" s="37"/>
      <c r="H19" s="37"/>
      <c r="I19" s="37">
        <v>0</v>
      </c>
      <c r="J19" s="37">
        <v>0</v>
      </c>
      <c r="K19" s="37">
        <v>11</v>
      </c>
      <c r="L19" s="37">
        <v>0</v>
      </c>
      <c r="M19" s="36">
        <v>0</v>
      </c>
      <c r="N19" s="36">
        <v>0</v>
      </c>
      <c r="O19" s="36">
        <v>0</v>
      </c>
      <c r="P19" s="36"/>
      <c r="Q19" s="36"/>
      <c r="R19" s="36"/>
      <c r="S19" s="36"/>
      <c r="T19" s="36"/>
      <c r="U19" s="36"/>
      <c r="V19" s="36"/>
      <c r="W19" s="66"/>
    </row>
    <row r="20" spans="1:23" ht="13.8" thickBot="1" x14ac:dyDescent="0.3">
      <c r="A20" s="41" t="s">
        <v>94</v>
      </c>
      <c r="B20" s="147" t="str">
        <f t="shared" si="0"/>
        <v/>
      </c>
      <c r="C20" s="141"/>
      <c r="D20" s="45">
        <v>0</v>
      </c>
      <c r="E20" s="44">
        <f t="shared" ref="E20" si="1">SUM(E2:E19)</f>
        <v>0</v>
      </c>
      <c r="F20" s="45">
        <f>SUM(F2:F19)</f>
        <v>0</v>
      </c>
      <c r="G20" s="45">
        <f>SUM(G2:G19)</f>
        <v>166</v>
      </c>
      <c r="H20" s="45">
        <f>SUM(H2:H19)</f>
        <v>928</v>
      </c>
      <c r="I20" s="45">
        <v>0</v>
      </c>
      <c r="J20" s="45">
        <f>SUM(J2:J19)</f>
        <v>0</v>
      </c>
      <c r="K20" s="45">
        <f>SUM(K2:K19)</f>
        <v>1464</v>
      </c>
      <c r="L20" s="45">
        <v>0</v>
      </c>
      <c r="M20" s="45">
        <f>SUM(M2:M19)</f>
        <v>580</v>
      </c>
      <c r="N20" s="45">
        <f>SUM(N2:N19)</f>
        <v>956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f>SUM(T2:T19)</f>
        <v>0</v>
      </c>
      <c r="U20" s="45">
        <f>SUM(U2:U19)</f>
        <v>0</v>
      </c>
      <c r="V20" s="45">
        <f>SUM(V2:V19)</f>
        <v>0</v>
      </c>
      <c r="W20" s="34">
        <f>SUM(W2:W19)</f>
        <v>0</v>
      </c>
    </row>
    <row r="21" spans="1:23" x14ac:dyDescent="0.25">
      <c r="B21" s="143"/>
      <c r="C21" s="143"/>
    </row>
    <row r="22" spans="1:23" ht="13.8" thickBot="1" x14ac:dyDescent="0.3">
      <c r="B22" s="148"/>
      <c r="C22" s="14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1" customFormat="1" ht="13.8" thickBot="1" x14ac:dyDescent="0.3">
      <c r="A23" s="52" t="s">
        <v>123</v>
      </c>
      <c r="B23" s="118" t="s">
        <v>171</v>
      </c>
      <c r="C23" s="48" t="s">
        <v>172</v>
      </c>
      <c r="D23" s="78" t="s">
        <v>169</v>
      </c>
      <c r="E23" s="104">
        <v>45809</v>
      </c>
      <c r="F23" s="110">
        <v>45444</v>
      </c>
      <c r="G23" s="110">
        <v>45078</v>
      </c>
      <c r="H23" s="110">
        <v>44713</v>
      </c>
      <c r="I23" s="110">
        <v>44348</v>
      </c>
      <c r="J23" s="110">
        <v>43983</v>
      </c>
      <c r="K23" s="110">
        <v>43617</v>
      </c>
      <c r="L23" s="110">
        <v>43252</v>
      </c>
      <c r="M23" s="24">
        <v>42887</v>
      </c>
      <c r="N23" s="24">
        <v>42522</v>
      </c>
      <c r="O23" s="24">
        <v>42156</v>
      </c>
      <c r="P23" s="24">
        <v>41791</v>
      </c>
      <c r="Q23" s="24">
        <v>41426</v>
      </c>
      <c r="R23" s="24">
        <v>41061</v>
      </c>
      <c r="S23" s="24">
        <v>40695</v>
      </c>
      <c r="T23" s="24">
        <v>40330</v>
      </c>
      <c r="U23" s="24">
        <v>39965</v>
      </c>
      <c r="V23" s="24">
        <v>39600</v>
      </c>
      <c r="W23" s="25">
        <v>39234</v>
      </c>
    </row>
    <row r="24" spans="1:23" s="51" customFormat="1" x14ac:dyDescent="0.25">
      <c r="A24" s="53" t="s">
        <v>7</v>
      </c>
      <c r="B24" s="131" t="str">
        <f t="shared" ref="B24:B27" si="2">IFERROR(((E24-F24)/F24),"")</f>
        <v/>
      </c>
      <c r="C24" s="132"/>
      <c r="D24" s="56">
        <v>0</v>
      </c>
      <c r="E24" s="55"/>
      <c r="F24" s="56"/>
      <c r="G24" s="56">
        <v>0</v>
      </c>
      <c r="H24" s="56">
        <v>0</v>
      </c>
      <c r="I24" s="56">
        <v>0</v>
      </c>
      <c r="J24" s="56">
        <v>0</v>
      </c>
      <c r="K24" s="56">
        <v>28</v>
      </c>
      <c r="L24" s="56">
        <v>0</v>
      </c>
      <c r="M24" s="56"/>
      <c r="N24" s="56">
        <v>0</v>
      </c>
      <c r="O24" s="56">
        <v>0</v>
      </c>
      <c r="P24" s="56"/>
      <c r="Q24" s="56"/>
      <c r="R24" s="56"/>
      <c r="S24" s="56"/>
      <c r="T24" s="56">
        <v>0</v>
      </c>
      <c r="U24" s="56">
        <f>SUM(X24:Y24)</f>
        <v>0</v>
      </c>
      <c r="V24" s="56">
        <f>D39</f>
        <v>0</v>
      </c>
      <c r="W24" s="67">
        <f>D61</f>
        <v>0</v>
      </c>
    </row>
    <row r="25" spans="1:23" s="51" customFormat="1" x14ac:dyDescent="0.25">
      <c r="A25" s="53" t="s">
        <v>159</v>
      </c>
      <c r="B25" s="131" t="str">
        <f t="shared" si="2"/>
        <v/>
      </c>
      <c r="C25" s="132"/>
      <c r="D25" s="56">
        <v>0</v>
      </c>
      <c r="E25" s="55"/>
      <c r="F25" s="56"/>
      <c r="G25" s="56">
        <v>0</v>
      </c>
      <c r="H25" s="56">
        <v>0</v>
      </c>
      <c r="I25" s="56">
        <v>0</v>
      </c>
      <c r="J25" s="56">
        <v>0</v>
      </c>
      <c r="K25" s="56"/>
      <c r="L25" s="56">
        <v>0</v>
      </c>
      <c r="M25" s="56"/>
      <c r="N25" s="56">
        <v>0</v>
      </c>
      <c r="O25" s="56">
        <v>0</v>
      </c>
      <c r="P25" s="56"/>
      <c r="Q25" s="56"/>
      <c r="R25" s="56"/>
      <c r="S25" s="56"/>
      <c r="T25" s="56"/>
      <c r="U25" s="56"/>
      <c r="V25" s="56"/>
      <c r="W25" s="67"/>
    </row>
    <row r="26" spans="1:23" s="51" customFormat="1" ht="13.8" thickBot="1" x14ac:dyDescent="0.3">
      <c r="A26" s="57" t="s">
        <v>6</v>
      </c>
      <c r="B26" s="149" t="str">
        <f t="shared" si="2"/>
        <v/>
      </c>
      <c r="C26" s="132"/>
      <c r="D26" s="56">
        <v>0</v>
      </c>
      <c r="E26" s="55"/>
      <c r="F26" s="56"/>
      <c r="G26" s="56">
        <v>0</v>
      </c>
      <c r="H26" s="56">
        <v>0</v>
      </c>
      <c r="I26" s="56">
        <v>0</v>
      </c>
      <c r="J26" s="56">
        <v>0</v>
      </c>
      <c r="K26" s="56">
        <v>93</v>
      </c>
      <c r="L26" s="56">
        <v>0</v>
      </c>
      <c r="M26" s="60"/>
      <c r="N26" s="60">
        <v>0</v>
      </c>
      <c r="O26" s="60">
        <v>0</v>
      </c>
      <c r="P26" s="60"/>
      <c r="Q26" s="60"/>
      <c r="R26" s="60"/>
      <c r="S26" s="60"/>
      <c r="T26" s="60">
        <v>0</v>
      </c>
      <c r="U26" s="60">
        <f>SUM(X26:Y26)</f>
        <v>0</v>
      </c>
      <c r="V26" s="60">
        <v>0</v>
      </c>
      <c r="W26" s="68">
        <f>D70</f>
        <v>0</v>
      </c>
    </row>
    <row r="27" spans="1:23" s="51" customFormat="1" ht="13.8" thickBot="1" x14ac:dyDescent="0.3">
      <c r="A27" s="61" t="s">
        <v>94</v>
      </c>
      <c r="B27" s="62" t="str">
        <f t="shared" si="2"/>
        <v/>
      </c>
      <c r="C27" s="144"/>
      <c r="D27" s="83">
        <v>0</v>
      </c>
      <c r="E27" s="63"/>
      <c r="F27" s="83">
        <v>0</v>
      </c>
      <c r="G27" s="83">
        <v>0</v>
      </c>
      <c r="H27" s="83">
        <v>0</v>
      </c>
      <c r="I27" s="83">
        <v>0</v>
      </c>
      <c r="J27" s="83">
        <f>SUM(J24:J26)</f>
        <v>0</v>
      </c>
      <c r="K27" s="83">
        <f>SUM(K24:K26)</f>
        <v>121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f>SUM(U24:U26)</f>
        <v>0</v>
      </c>
      <c r="V27" s="64">
        <f>SUM(V24:V26)</f>
        <v>0</v>
      </c>
      <c r="W27" s="69">
        <f>SUM(W24:W26)</f>
        <v>0</v>
      </c>
    </row>
    <row r="28" spans="1:23" s="51" customFormat="1" x14ac:dyDescent="0.25"/>
    <row r="29" spans="1:23" s="51" customFormat="1" x14ac:dyDescent="0.25">
      <c r="A29"/>
      <c r="B29"/>
      <c r="C29"/>
      <c r="D29"/>
      <c r="E29"/>
    </row>
    <row r="30" spans="1:23" s="51" customFormat="1" x14ac:dyDescent="0.25">
      <c r="A30"/>
      <c r="B30"/>
      <c r="C30"/>
      <c r="D30"/>
      <c r="E30"/>
    </row>
  </sheetData>
  <conditionalFormatting sqref="E1">
    <cfRule type="expression" dxfId="18" priority="2">
      <formula>ISBLANK(XFD1)=FALSE</formula>
    </cfRule>
  </conditionalFormatting>
  <conditionalFormatting sqref="E23">
    <cfRule type="expression" dxfId="17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47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0" width="10.109375" bestFit="1" customWidth="1"/>
  </cols>
  <sheetData>
    <row r="1" spans="1:21" ht="13.8" thickBot="1" x14ac:dyDescent="0.3">
      <c r="A1" s="38" t="s">
        <v>93</v>
      </c>
      <c r="B1" s="118" t="s">
        <v>171</v>
      </c>
      <c r="C1" s="48" t="s">
        <v>172</v>
      </c>
      <c r="D1" s="78" t="s">
        <v>169</v>
      </c>
      <c r="E1" s="104">
        <v>45809</v>
      </c>
      <c r="F1" s="110">
        <v>45444</v>
      </c>
      <c r="G1" s="110">
        <v>45078</v>
      </c>
      <c r="H1" s="110">
        <v>44713</v>
      </c>
      <c r="I1" s="110">
        <v>44348</v>
      </c>
      <c r="J1" s="110">
        <v>43983</v>
      </c>
      <c r="K1" s="110">
        <v>43617</v>
      </c>
      <c r="L1" s="110">
        <v>43252</v>
      </c>
      <c r="M1" s="24">
        <v>42887</v>
      </c>
      <c r="N1" s="24">
        <v>42522</v>
      </c>
      <c r="O1" s="24">
        <v>42156</v>
      </c>
      <c r="P1" s="24">
        <v>41791</v>
      </c>
      <c r="Q1" s="24">
        <v>41426</v>
      </c>
      <c r="R1" s="24">
        <v>41061</v>
      </c>
      <c r="S1" s="24">
        <v>40695</v>
      </c>
      <c r="T1" s="25">
        <v>40330</v>
      </c>
    </row>
    <row r="2" spans="1:21" x14ac:dyDescent="0.25">
      <c r="A2" s="39" t="s">
        <v>122</v>
      </c>
      <c r="B2" s="46">
        <f t="shared" ref="B2:B26" si="0">IFERROR(((E2-F2)/F2),"")</f>
        <v>0.99476357615894029</v>
      </c>
      <c r="C2" s="73">
        <v>-640.78189999999995</v>
      </c>
      <c r="D2" s="37">
        <v>-1156</v>
      </c>
      <c r="E2" s="42">
        <v>2710.8836999999999</v>
      </c>
      <c r="F2" s="37">
        <v>1359</v>
      </c>
      <c r="G2" s="37">
        <v>1904</v>
      </c>
      <c r="H2" s="37">
        <v>440</v>
      </c>
      <c r="I2" s="37">
        <v>1007</v>
      </c>
      <c r="J2" s="37">
        <v>949</v>
      </c>
      <c r="K2" s="37">
        <v>667</v>
      </c>
      <c r="L2" s="37">
        <v>42</v>
      </c>
      <c r="M2" s="103">
        <v>1236</v>
      </c>
      <c r="N2" s="103">
        <v>1250</v>
      </c>
      <c r="O2" s="103">
        <v>638</v>
      </c>
      <c r="P2" s="103">
        <v>3014</v>
      </c>
      <c r="Q2" s="103">
        <v>624</v>
      </c>
      <c r="R2" s="103">
        <v>1550</v>
      </c>
      <c r="S2" s="103">
        <v>200</v>
      </c>
      <c r="T2" s="96">
        <v>152</v>
      </c>
    </row>
    <row r="3" spans="1:21" x14ac:dyDescent="0.25">
      <c r="A3" s="39" t="s">
        <v>127</v>
      </c>
      <c r="B3" s="46">
        <f t="shared" si="0"/>
        <v>-0.61774916201117314</v>
      </c>
      <c r="C3" s="73">
        <v>-1979.6790000000001</v>
      </c>
      <c r="D3" s="37">
        <v>-3542</v>
      </c>
      <c r="E3" s="42">
        <v>1368.4580000000001</v>
      </c>
      <c r="F3" s="37">
        <v>3580</v>
      </c>
      <c r="G3" s="37">
        <v>2347</v>
      </c>
      <c r="H3" s="37">
        <v>6596</v>
      </c>
      <c r="I3" s="37">
        <v>809</v>
      </c>
      <c r="J3" s="37">
        <v>4240</v>
      </c>
      <c r="K3" s="37">
        <v>3062</v>
      </c>
      <c r="L3" s="37">
        <v>654</v>
      </c>
      <c r="M3" s="103">
        <v>4623</v>
      </c>
      <c r="N3" s="103">
        <v>3735</v>
      </c>
      <c r="O3" s="103">
        <v>1708</v>
      </c>
      <c r="P3" s="103">
        <v>10254</v>
      </c>
      <c r="Q3" s="103">
        <v>1174</v>
      </c>
      <c r="R3" s="103">
        <v>3348</v>
      </c>
      <c r="S3" s="103">
        <v>5375</v>
      </c>
      <c r="T3" s="96">
        <v>6923</v>
      </c>
    </row>
    <row r="4" spans="1:21" x14ac:dyDescent="0.25">
      <c r="A4" s="39" t="s">
        <v>4</v>
      </c>
      <c r="B4" s="46">
        <f t="shared" si="0"/>
        <v>22.274699999999999</v>
      </c>
      <c r="C4" s="73">
        <v>-11.960800000000003</v>
      </c>
      <c r="D4" s="37">
        <v>-19</v>
      </c>
      <c r="E4" s="42">
        <v>23.274699999999999</v>
      </c>
      <c r="F4" s="37">
        <v>1</v>
      </c>
      <c r="G4" s="37">
        <v>9</v>
      </c>
      <c r="H4" s="37">
        <v>54</v>
      </c>
      <c r="I4" s="37">
        <v>0</v>
      </c>
      <c r="J4" s="37">
        <v>0</v>
      </c>
      <c r="K4" s="37">
        <v>294</v>
      </c>
      <c r="L4" s="37">
        <v>83</v>
      </c>
      <c r="M4" s="37">
        <v>136</v>
      </c>
      <c r="N4" s="37">
        <v>0</v>
      </c>
      <c r="O4" s="37">
        <v>0</v>
      </c>
      <c r="P4" s="37">
        <v>162</v>
      </c>
      <c r="Q4" s="37"/>
      <c r="R4" s="37">
        <v>142</v>
      </c>
      <c r="S4" s="37">
        <v>0</v>
      </c>
      <c r="T4" s="65">
        <v>26</v>
      </c>
    </row>
    <row r="5" spans="1:21" x14ac:dyDescent="0.25">
      <c r="A5" s="39" t="s">
        <v>11</v>
      </c>
      <c r="B5" s="46">
        <f t="shared" si="0"/>
        <v>1.7082967479674795</v>
      </c>
      <c r="C5" s="73">
        <v>-2139.7338</v>
      </c>
      <c r="D5" s="37">
        <v>-1859</v>
      </c>
      <c r="E5" s="42">
        <v>3664.3254999999999</v>
      </c>
      <c r="F5" s="37">
        <v>1353</v>
      </c>
      <c r="G5" s="37">
        <v>926</v>
      </c>
      <c r="H5" s="37">
        <v>2837</v>
      </c>
      <c r="I5" s="37">
        <v>1980</v>
      </c>
      <c r="J5" s="37">
        <v>2642</v>
      </c>
      <c r="K5" s="37">
        <v>4421</v>
      </c>
      <c r="L5" s="37">
        <v>282</v>
      </c>
      <c r="M5" s="37">
        <v>2270</v>
      </c>
      <c r="N5" s="37">
        <v>1915</v>
      </c>
      <c r="O5" s="37">
        <v>1654</v>
      </c>
      <c r="P5" s="37">
        <v>4530</v>
      </c>
      <c r="Q5" s="37">
        <v>597</v>
      </c>
      <c r="R5" s="37">
        <v>2349</v>
      </c>
      <c r="S5" s="37">
        <v>1467</v>
      </c>
      <c r="T5" s="65">
        <v>4206</v>
      </c>
    </row>
    <row r="6" spans="1:21" x14ac:dyDescent="0.25">
      <c r="A6" s="39" t="s">
        <v>29</v>
      </c>
      <c r="B6" s="46" t="str">
        <f t="shared" si="0"/>
        <v/>
      </c>
      <c r="C6" s="73">
        <v>0</v>
      </c>
      <c r="D6" s="37">
        <v>0</v>
      </c>
      <c r="E6" s="42"/>
      <c r="F6" s="37"/>
      <c r="G6" s="37"/>
      <c r="H6" s="37"/>
      <c r="I6" s="37"/>
      <c r="J6" s="37"/>
      <c r="K6" s="37"/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29</v>
      </c>
      <c r="R6" s="37">
        <v>99</v>
      </c>
      <c r="S6" s="37">
        <v>189</v>
      </c>
      <c r="T6" s="65">
        <v>459</v>
      </c>
    </row>
    <row r="7" spans="1:21" x14ac:dyDescent="0.25">
      <c r="A7" s="39" t="s">
        <v>152</v>
      </c>
      <c r="B7" s="46">
        <f t="shared" si="0"/>
        <v>0.59340996580361505</v>
      </c>
      <c r="C7" s="73">
        <v>-1430.9743000000003</v>
      </c>
      <c r="D7" s="37">
        <v>-804</v>
      </c>
      <c r="E7" s="42">
        <v>3261.7102</v>
      </c>
      <c r="F7" s="37">
        <v>2047</v>
      </c>
      <c r="G7" s="37">
        <v>105</v>
      </c>
      <c r="H7" s="37">
        <v>1268</v>
      </c>
      <c r="I7" s="37">
        <v>1435</v>
      </c>
      <c r="J7" s="37">
        <v>1397</v>
      </c>
      <c r="K7" s="37">
        <v>2049</v>
      </c>
      <c r="L7" s="37">
        <v>1223</v>
      </c>
      <c r="M7" s="37">
        <v>814</v>
      </c>
      <c r="N7" s="37">
        <v>1409</v>
      </c>
      <c r="O7" s="37">
        <v>731</v>
      </c>
      <c r="P7" s="37">
        <v>496</v>
      </c>
      <c r="Q7" s="37"/>
      <c r="R7" s="37">
        <v>908</v>
      </c>
      <c r="S7" s="37">
        <v>604</v>
      </c>
      <c r="T7" s="65">
        <v>0</v>
      </c>
    </row>
    <row r="8" spans="1:21" x14ac:dyDescent="0.25">
      <c r="A8" s="39" t="s">
        <v>62</v>
      </c>
      <c r="B8" s="46">
        <f t="shared" si="0"/>
        <v>0.35798139365725928</v>
      </c>
      <c r="C8" s="73">
        <v>-23658.495600000002</v>
      </c>
      <c r="D8" s="37">
        <v>-20415</v>
      </c>
      <c r="E8" s="42">
        <v>9334.7641000000003</v>
      </c>
      <c r="F8" s="37">
        <v>6874</v>
      </c>
      <c r="G8" s="37">
        <v>9519</v>
      </c>
      <c r="H8" s="37">
        <v>3791</v>
      </c>
      <c r="I8" s="37">
        <v>3826</v>
      </c>
      <c r="J8" s="37">
        <v>11797</v>
      </c>
      <c r="K8" s="37">
        <v>3940</v>
      </c>
      <c r="L8" s="37">
        <v>1015</v>
      </c>
      <c r="M8" s="37">
        <v>5870</v>
      </c>
      <c r="N8" s="37">
        <v>4408</v>
      </c>
      <c r="O8" s="37">
        <v>3095</v>
      </c>
      <c r="P8" s="37">
        <v>5403</v>
      </c>
      <c r="Q8" s="37">
        <v>67</v>
      </c>
      <c r="R8" s="37">
        <v>161</v>
      </c>
      <c r="S8" s="37">
        <v>2932</v>
      </c>
      <c r="T8" s="65">
        <v>5434</v>
      </c>
    </row>
    <row r="9" spans="1:21" x14ac:dyDescent="0.25">
      <c r="A9" s="39" t="s">
        <v>2</v>
      </c>
      <c r="B9" s="46">
        <f t="shared" si="0"/>
        <v>-1</v>
      </c>
      <c r="C9" s="73">
        <v>-6.0385999999999997</v>
      </c>
      <c r="D9" s="37">
        <v>-48</v>
      </c>
      <c r="E9" s="42">
        <v>0</v>
      </c>
      <c r="F9" s="37">
        <v>65</v>
      </c>
      <c r="G9" s="37">
        <v>18</v>
      </c>
      <c r="H9" s="37">
        <v>38</v>
      </c>
      <c r="I9" s="37">
        <v>198</v>
      </c>
      <c r="J9" s="37">
        <v>162</v>
      </c>
      <c r="K9" s="37">
        <v>290</v>
      </c>
      <c r="L9" s="37">
        <v>4</v>
      </c>
      <c r="M9" s="37">
        <v>95</v>
      </c>
      <c r="N9" s="37">
        <v>54</v>
      </c>
      <c r="O9" s="37">
        <v>138</v>
      </c>
      <c r="P9" s="37">
        <v>70</v>
      </c>
      <c r="Q9" s="37">
        <v>98</v>
      </c>
      <c r="R9" s="37">
        <v>20</v>
      </c>
      <c r="S9" s="37">
        <v>0</v>
      </c>
      <c r="T9" s="65">
        <v>7</v>
      </c>
    </row>
    <row r="10" spans="1:21" x14ac:dyDescent="0.25">
      <c r="A10" s="39" t="s">
        <v>12</v>
      </c>
      <c r="B10" s="46">
        <f t="shared" si="0"/>
        <v>-0.58025021881838079</v>
      </c>
      <c r="C10" s="73">
        <v>-1939.7766999999999</v>
      </c>
      <c r="D10" s="37">
        <v>-2049</v>
      </c>
      <c r="E10" s="42">
        <v>767.30259999999998</v>
      </c>
      <c r="F10" s="37">
        <v>1828</v>
      </c>
      <c r="G10" s="37">
        <v>829</v>
      </c>
      <c r="H10" s="37">
        <v>5199</v>
      </c>
      <c r="I10" s="37">
        <v>340</v>
      </c>
      <c r="J10" s="37">
        <v>3501</v>
      </c>
      <c r="K10" s="37">
        <v>3789</v>
      </c>
      <c r="L10" s="37">
        <v>786</v>
      </c>
      <c r="M10" s="37">
        <v>1551</v>
      </c>
      <c r="N10" s="37">
        <v>3232</v>
      </c>
      <c r="O10" s="37">
        <v>769</v>
      </c>
      <c r="P10" s="37">
        <v>5935</v>
      </c>
      <c r="Q10" s="37">
        <v>1514</v>
      </c>
      <c r="R10" s="37">
        <v>1363</v>
      </c>
      <c r="S10" s="37">
        <v>3024</v>
      </c>
      <c r="T10" s="65">
        <v>2213</v>
      </c>
    </row>
    <row r="11" spans="1:21" x14ac:dyDescent="0.25">
      <c r="A11" s="39" t="s">
        <v>9</v>
      </c>
      <c r="B11" s="46">
        <f t="shared" si="0"/>
        <v>4.4533183352081007E-2</v>
      </c>
      <c r="C11" s="73">
        <v>-6290.5847000000003</v>
      </c>
      <c r="D11" s="37">
        <v>-6268</v>
      </c>
      <c r="E11" s="42">
        <v>6500.13</v>
      </c>
      <c r="F11" s="37">
        <v>6223</v>
      </c>
      <c r="G11" s="37">
        <v>7712</v>
      </c>
      <c r="H11" s="37">
        <v>15434</v>
      </c>
      <c r="I11" s="37">
        <v>12790</v>
      </c>
      <c r="J11" s="37">
        <v>8400</v>
      </c>
      <c r="K11" s="37">
        <v>18158</v>
      </c>
      <c r="L11" s="37">
        <v>3425</v>
      </c>
      <c r="M11" s="37">
        <v>4287</v>
      </c>
      <c r="N11" s="37">
        <v>1860</v>
      </c>
      <c r="O11" s="37">
        <v>4608</v>
      </c>
      <c r="P11" s="37">
        <v>2551</v>
      </c>
      <c r="Q11" s="37">
        <v>1883</v>
      </c>
      <c r="R11" s="37">
        <v>2658</v>
      </c>
      <c r="S11" s="37">
        <v>2969</v>
      </c>
      <c r="T11" s="65">
        <v>2903</v>
      </c>
    </row>
    <row r="12" spans="1:21" x14ac:dyDescent="0.25">
      <c r="A12" s="39" t="s">
        <v>3</v>
      </c>
      <c r="B12" s="46">
        <f t="shared" si="0"/>
        <v>-6.3102027177539888E-4</v>
      </c>
      <c r="C12" s="73">
        <v>-20074.21179999999</v>
      </c>
      <c r="D12" s="37">
        <v>-19764</v>
      </c>
      <c r="E12" s="42">
        <v>62806.342900000003</v>
      </c>
      <c r="F12" s="37">
        <v>62846</v>
      </c>
      <c r="G12" s="37">
        <v>37373</v>
      </c>
      <c r="H12" s="37">
        <v>49013</v>
      </c>
      <c r="I12" s="37">
        <v>38189</v>
      </c>
      <c r="J12" s="37">
        <v>80281</v>
      </c>
      <c r="K12" s="37">
        <v>66747</v>
      </c>
      <c r="L12" s="37">
        <v>57887</v>
      </c>
      <c r="M12" s="37">
        <v>79976</v>
      </c>
      <c r="N12" s="37">
        <v>75936</v>
      </c>
      <c r="O12" s="37">
        <v>71300</v>
      </c>
      <c r="P12" s="37">
        <v>88522</v>
      </c>
      <c r="Q12" s="37">
        <v>20682</v>
      </c>
      <c r="R12" s="37">
        <v>62266</v>
      </c>
      <c r="S12" s="37">
        <v>59806</v>
      </c>
      <c r="T12" s="65">
        <v>73500</v>
      </c>
    </row>
    <row r="13" spans="1:21" x14ac:dyDescent="0.25">
      <c r="A13" s="39" t="s">
        <v>138</v>
      </c>
      <c r="B13" s="46">
        <f t="shared" si="0"/>
        <v>1.026360153256705</v>
      </c>
      <c r="C13" s="73">
        <v>-821.4987000000001</v>
      </c>
      <c r="D13" s="37">
        <v>-584</v>
      </c>
      <c r="E13" s="42">
        <v>1057.76</v>
      </c>
      <c r="F13" s="37">
        <v>522</v>
      </c>
      <c r="G13" s="37">
        <v>375</v>
      </c>
      <c r="H13" s="37">
        <v>421</v>
      </c>
      <c r="I13" s="37">
        <v>456</v>
      </c>
      <c r="J13" s="37">
        <v>1012</v>
      </c>
      <c r="K13" s="37">
        <v>302</v>
      </c>
      <c r="L13" s="37">
        <v>143</v>
      </c>
      <c r="M13" s="37">
        <v>296</v>
      </c>
      <c r="N13" s="37">
        <v>288</v>
      </c>
      <c r="O13" s="37">
        <v>800</v>
      </c>
      <c r="P13" s="37">
        <v>1086</v>
      </c>
      <c r="Q13" s="37">
        <v>519</v>
      </c>
      <c r="R13" s="37">
        <v>484</v>
      </c>
      <c r="S13" s="37">
        <v>690</v>
      </c>
      <c r="T13" s="65">
        <v>675</v>
      </c>
    </row>
    <row r="14" spans="1:21" x14ac:dyDescent="0.25">
      <c r="A14" s="39" t="s">
        <v>17</v>
      </c>
      <c r="B14" s="46">
        <f t="shared" si="0"/>
        <v>0.4352231636741356</v>
      </c>
      <c r="C14" s="73">
        <v>-4810.878200000001</v>
      </c>
      <c r="D14" s="37">
        <v>-5384</v>
      </c>
      <c r="E14" s="42">
        <v>9671.9688999999998</v>
      </c>
      <c r="F14" s="37">
        <v>6739</v>
      </c>
      <c r="G14" s="37">
        <v>8631</v>
      </c>
      <c r="H14" s="37">
        <v>13581</v>
      </c>
      <c r="I14" s="37">
        <v>10460</v>
      </c>
      <c r="J14" s="37">
        <v>15658</v>
      </c>
      <c r="K14" s="37">
        <v>17046</v>
      </c>
      <c r="L14" s="37">
        <v>8877</v>
      </c>
      <c r="M14" s="37">
        <v>7979</v>
      </c>
      <c r="N14" s="37">
        <v>16829</v>
      </c>
      <c r="O14" s="37">
        <v>10987</v>
      </c>
      <c r="P14" s="37">
        <v>15124</v>
      </c>
      <c r="Q14" s="37">
        <v>6954</v>
      </c>
      <c r="R14" s="37">
        <v>5095</v>
      </c>
      <c r="S14" s="37">
        <v>5607</v>
      </c>
      <c r="T14" s="65">
        <v>9193</v>
      </c>
    </row>
    <row r="15" spans="1:21" x14ac:dyDescent="0.25">
      <c r="A15" s="39" t="s">
        <v>130</v>
      </c>
      <c r="B15" s="46">
        <f t="shared" si="0"/>
        <v>-0.96117605985037402</v>
      </c>
      <c r="C15" s="73">
        <v>-693.1721</v>
      </c>
      <c r="D15" s="37">
        <v>-450</v>
      </c>
      <c r="E15" s="42">
        <v>31.136800000000001</v>
      </c>
      <c r="F15" s="37">
        <v>802</v>
      </c>
      <c r="G15" s="37">
        <v>1459</v>
      </c>
      <c r="H15" s="37">
        <v>2669</v>
      </c>
      <c r="I15" s="37">
        <v>86</v>
      </c>
      <c r="J15" s="37">
        <v>856</v>
      </c>
      <c r="K15" s="37">
        <v>362</v>
      </c>
      <c r="L15" s="37">
        <v>0</v>
      </c>
      <c r="M15" s="37">
        <v>550</v>
      </c>
      <c r="N15" s="37">
        <v>204</v>
      </c>
      <c r="O15" s="37">
        <v>271</v>
      </c>
      <c r="P15" s="37">
        <v>207</v>
      </c>
      <c r="Q15" s="37">
        <v>1026</v>
      </c>
      <c r="R15" s="37"/>
      <c r="S15" s="37">
        <v>550</v>
      </c>
      <c r="T15" s="65">
        <v>76</v>
      </c>
    </row>
    <row r="16" spans="1:21" x14ac:dyDescent="0.25">
      <c r="A16" s="39" t="s">
        <v>10</v>
      </c>
      <c r="B16" s="46" t="str">
        <f t="shared" si="0"/>
        <v/>
      </c>
      <c r="C16" s="73">
        <v>0</v>
      </c>
      <c r="D16" s="37">
        <v>0</v>
      </c>
      <c r="E16" s="42"/>
      <c r="F16" s="37"/>
      <c r="G16" s="37"/>
      <c r="H16" s="37"/>
      <c r="I16" s="37">
        <v>727</v>
      </c>
      <c r="J16" s="37">
        <v>457</v>
      </c>
      <c r="K16" s="37">
        <v>413</v>
      </c>
      <c r="L16" s="37">
        <v>84</v>
      </c>
      <c r="M16" s="37">
        <v>247</v>
      </c>
      <c r="N16" s="37">
        <v>291</v>
      </c>
      <c r="O16" s="37">
        <v>268</v>
      </c>
      <c r="P16" s="37">
        <v>744</v>
      </c>
      <c r="Q16" s="37">
        <v>192</v>
      </c>
      <c r="R16" s="37">
        <v>803</v>
      </c>
      <c r="S16" s="37">
        <v>510</v>
      </c>
      <c r="T16" s="65">
        <v>1019</v>
      </c>
      <c r="U16" s="1"/>
    </row>
    <row r="17" spans="1:21" x14ac:dyDescent="0.25">
      <c r="A17" s="39" t="s">
        <v>129</v>
      </c>
      <c r="B17" s="46">
        <f t="shared" si="0"/>
        <v>0.19950510396975418</v>
      </c>
      <c r="C17" s="73">
        <v>-3162.1284000000005</v>
      </c>
      <c r="D17" s="37">
        <v>-3674</v>
      </c>
      <c r="E17" s="42">
        <v>4441.7673999999997</v>
      </c>
      <c r="F17" s="37">
        <v>3703</v>
      </c>
      <c r="G17" s="37">
        <v>3398</v>
      </c>
      <c r="H17" s="37">
        <v>6228</v>
      </c>
      <c r="I17" s="37">
        <v>1238</v>
      </c>
      <c r="J17" s="37">
        <v>3232</v>
      </c>
      <c r="K17" s="37">
        <v>1161</v>
      </c>
      <c r="L17" s="37">
        <v>538</v>
      </c>
      <c r="M17" s="37">
        <v>1344</v>
      </c>
      <c r="N17" s="37">
        <v>347</v>
      </c>
      <c r="O17" s="37">
        <v>856</v>
      </c>
      <c r="P17" s="37">
        <v>930</v>
      </c>
      <c r="Q17" s="37">
        <v>56</v>
      </c>
      <c r="R17" s="37">
        <v>392</v>
      </c>
      <c r="S17" s="37">
        <v>1115</v>
      </c>
      <c r="T17" s="65">
        <v>3224</v>
      </c>
      <c r="U17" s="1"/>
    </row>
    <row r="18" spans="1:21" x14ac:dyDescent="0.25">
      <c r="A18" s="39" t="s">
        <v>27</v>
      </c>
      <c r="B18" s="46">
        <f t="shared" si="0"/>
        <v>0.77841473108477655</v>
      </c>
      <c r="C18" s="73">
        <v>-3007.0316000000003</v>
      </c>
      <c r="D18" s="37">
        <v>-2848</v>
      </c>
      <c r="E18" s="42">
        <v>9754.6047999999992</v>
      </c>
      <c r="F18" s="37">
        <v>5485</v>
      </c>
      <c r="G18" s="37">
        <v>3475</v>
      </c>
      <c r="H18" s="37">
        <v>10035</v>
      </c>
      <c r="I18" s="37">
        <v>6110</v>
      </c>
      <c r="J18" s="37">
        <v>6259</v>
      </c>
      <c r="K18" s="37">
        <v>7505</v>
      </c>
      <c r="L18" s="37">
        <v>3830</v>
      </c>
      <c r="M18" s="37">
        <v>5141</v>
      </c>
      <c r="N18" s="37">
        <v>3756</v>
      </c>
      <c r="O18" s="37">
        <v>1622</v>
      </c>
      <c r="P18" s="37">
        <v>3997</v>
      </c>
      <c r="Q18" s="37">
        <v>819</v>
      </c>
      <c r="R18" s="37">
        <v>3288</v>
      </c>
      <c r="S18" s="37">
        <v>2912</v>
      </c>
      <c r="T18" s="65">
        <v>4969</v>
      </c>
      <c r="U18" s="1"/>
    </row>
    <row r="19" spans="1:21" x14ac:dyDescent="0.25">
      <c r="A19" s="39" t="s">
        <v>121</v>
      </c>
      <c r="B19" s="46" t="str">
        <f t="shared" si="0"/>
        <v/>
      </c>
      <c r="C19" s="73">
        <v>0</v>
      </c>
      <c r="D19" s="37">
        <v>0</v>
      </c>
      <c r="E19" s="42"/>
      <c r="F19" s="37"/>
      <c r="G19" s="37">
        <v>15</v>
      </c>
      <c r="H19" s="37"/>
      <c r="I19" s="37">
        <v>95</v>
      </c>
      <c r="J19" s="37">
        <v>4089</v>
      </c>
      <c r="K19" s="37">
        <v>3908</v>
      </c>
      <c r="L19" s="37">
        <v>824</v>
      </c>
      <c r="M19" s="37">
        <v>2544</v>
      </c>
      <c r="N19" s="37">
        <v>1464</v>
      </c>
      <c r="O19" s="37">
        <v>759</v>
      </c>
      <c r="P19" s="37">
        <v>2927</v>
      </c>
      <c r="Q19" s="37">
        <v>56</v>
      </c>
      <c r="R19" s="37">
        <v>217</v>
      </c>
      <c r="S19" s="37">
        <v>1075</v>
      </c>
      <c r="T19" s="65">
        <v>1624</v>
      </c>
    </row>
    <row r="20" spans="1:21" x14ac:dyDescent="0.25">
      <c r="A20" s="39" t="s">
        <v>90</v>
      </c>
      <c r="B20" s="46">
        <f t="shared" si="0"/>
        <v>2.4249628865979385</v>
      </c>
      <c r="C20" s="73">
        <v>-1861.4090999999999</v>
      </c>
      <c r="D20" s="37">
        <v>-790</v>
      </c>
      <c r="E20" s="42">
        <v>1328.8856000000001</v>
      </c>
      <c r="F20" s="37">
        <v>388</v>
      </c>
      <c r="G20" s="37">
        <v>316</v>
      </c>
      <c r="H20" s="37">
        <v>2370</v>
      </c>
      <c r="I20" s="37">
        <v>461</v>
      </c>
      <c r="J20" s="37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3</v>
      </c>
      <c r="R20" s="37">
        <v>8</v>
      </c>
      <c r="S20" s="37">
        <v>32</v>
      </c>
      <c r="T20" s="65">
        <v>2</v>
      </c>
    </row>
    <row r="21" spans="1:21" x14ac:dyDescent="0.25">
      <c r="A21" s="39" t="s">
        <v>128</v>
      </c>
      <c r="B21" s="46">
        <f t="shared" si="0"/>
        <v>0.7282661257606492</v>
      </c>
      <c r="C21" s="73">
        <v>-1230.3183000000001</v>
      </c>
      <c r="D21" s="37">
        <v>-1874</v>
      </c>
      <c r="E21" s="42">
        <v>852.03520000000003</v>
      </c>
      <c r="F21" s="37">
        <v>493</v>
      </c>
      <c r="G21" s="37">
        <v>1588</v>
      </c>
      <c r="H21" s="37">
        <v>4597</v>
      </c>
      <c r="I21" s="37">
        <v>1044</v>
      </c>
      <c r="J21" s="37">
        <v>1465</v>
      </c>
      <c r="K21" s="37">
        <v>1891</v>
      </c>
      <c r="L21" s="37">
        <v>347</v>
      </c>
      <c r="M21" s="37">
        <v>954</v>
      </c>
      <c r="N21" s="37">
        <v>730</v>
      </c>
      <c r="O21" s="37">
        <v>437</v>
      </c>
      <c r="P21" s="37">
        <v>4650</v>
      </c>
      <c r="Q21" s="37">
        <v>2336</v>
      </c>
      <c r="R21" s="37">
        <v>2183</v>
      </c>
      <c r="S21" s="37">
        <v>1501</v>
      </c>
      <c r="T21" s="65">
        <v>1310</v>
      </c>
    </row>
    <row r="22" spans="1:21" x14ac:dyDescent="0.25">
      <c r="A22" s="39" t="s">
        <v>117</v>
      </c>
      <c r="B22" s="46" t="str">
        <f t="shared" si="0"/>
        <v/>
      </c>
      <c r="C22" s="73">
        <v>0</v>
      </c>
      <c r="D22" s="37">
        <v>0</v>
      </c>
      <c r="E22" s="42"/>
      <c r="F22" s="37"/>
      <c r="G22" s="37"/>
      <c r="H22" s="37"/>
      <c r="I22" s="37">
        <v>88</v>
      </c>
      <c r="J22" s="37">
        <v>241</v>
      </c>
      <c r="K22" s="37">
        <v>221</v>
      </c>
      <c r="L22" s="37">
        <v>48</v>
      </c>
      <c r="M22" s="37">
        <v>21</v>
      </c>
      <c r="N22" s="37">
        <v>129</v>
      </c>
      <c r="O22" s="37">
        <v>8</v>
      </c>
      <c r="P22" s="37">
        <v>295</v>
      </c>
      <c r="Q22" s="37">
        <v>25</v>
      </c>
      <c r="R22" s="37">
        <v>123</v>
      </c>
      <c r="S22" s="37">
        <v>10</v>
      </c>
      <c r="T22" s="65">
        <v>322</v>
      </c>
    </row>
    <row r="23" spans="1:21" x14ac:dyDescent="0.25">
      <c r="A23" s="39" t="s">
        <v>131</v>
      </c>
      <c r="B23" s="46" t="str">
        <f t="shared" si="0"/>
        <v/>
      </c>
      <c r="C23" s="73">
        <v>0</v>
      </c>
      <c r="D23" s="37">
        <v>0</v>
      </c>
      <c r="E23" s="42"/>
      <c r="F23" s="37"/>
      <c r="G23" s="37"/>
      <c r="H23" s="37"/>
      <c r="I23" s="37">
        <v>3991</v>
      </c>
      <c r="J23" s="37">
        <v>4763</v>
      </c>
      <c r="K23" s="37">
        <v>4718</v>
      </c>
      <c r="L23" s="37">
        <v>687</v>
      </c>
      <c r="M23" s="37">
        <v>3059</v>
      </c>
      <c r="N23" s="37">
        <v>2162</v>
      </c>
      <c r="O23" s="37">
        <v>2744</v>
      </c>
      <c r="P23" s="37">
        <v>2178</v>
      </c>
      <c r="Q23" s="37">
        <v>81</v>
      </c>
      <c r="R23" s="37">
        <v>1437</v>
      </c>
      <c r="S23" s="37">
        <v>377</v>
      </c>
      <c r="T23" s="65">
        <v>447</v>
      </c>
    </row>
    <row r="24" spans="1:21" x14ac:dyDescent="0.25">
      <c r="A24" s="39" t="s">
        <v>126</v>
      </c>
      <c r="B24" s="46" t="str">
        <f t="shared" si="0"/>
        <v/>
      </c>
      <c r="C24" s="73">
        <v>-166.64870000000002</v>
      </c>
      <c r="D24" s="37">
        <v>-180</v>
      </c>
      <c r="E24" s="42">
        <v>114.35129999999999</v>
      </c>
      <c r="F24" s="37">
        <v>0</v>
      </c>
      <c r="G24" s="37">
        <v>237</v>
      </c>
      <c r="H24" s="37">
        <v>704</v>
      </c>
      <c r="I24" s="37">
        <v>0</v>
      </c>
      <c r="J24" s="37">
        <v>247</v>
      </c>
      <c r="K24" s="37">
        <v>463</v>
      </c>
      <c r="L24" s="37">
        <v>0</v>
      </c>
      <c r="M24" s="37">
        <v>670</v>
      </c>
      <c r="N24" s="37">
        <v>235</v>
      </c>
      <c r="O24" s="37">
        <v>186</v>
      </c>
      <c r="P24" s="37">
        <v>741</v>
      </c>
      <c r="Q24" s="37"/>
      <c r="R24" s="37">
        <v>527</v>
      </c>
      <c r="S24" s="37">
        <v>126</v>
      </c>
      <c r="T24" s="65">
        <v>483</v>
      </c>
    </row>
    <row r="25" spans="1:21" ht="13.8" thickBot="1" x14ac:dyDescent="0.3">
      <c r="A25" s="40" t="s">
        <v>6</v>
      </c>
      <c r="B25" s="47">
        <f t="shared" si="0"/>
        <v>0.66961738453150532</v>
      </c>
      <c r="C25" s="74">
        <v>-12261.538300000007</v>
      </c>
      <c r="D25" s="36">
        <v>-9673</v>
      </c>
      <c r="E25" s="43">
        <v>21436.217599999996</v>
      </c>
      <c r="F25" s="36">
        <v>12839</v>
      </c>
      <c r="G25" s="36">
        <v>13120</v>
      </c>
      <c r="H25" s="36">
        <v>8608</v>
      </c>
      <c r="I25" s="36">
        <v>2132</v>
      </c>
      <c r="J25" s="36">
        <v>1546</v>
      </c>
      <c r="K25" s="36">
        <v>2071</v>
      </c>
      <c r="L25" s="36">
        <v>383</v>
      </c>
      <c r="M25" s="36">
        <v>231</v>
      </c>
      <c r="N25" s="36">
        <v>278</v>
      </c>
      <c r="O25" s="36">
        <v>325</v>
      </c>
      <c r="P25" s="36">
        <v>1693</v>
      </c>
      <c r="Q25" s="36">
        <v>1947</v>
      </c>
      <c r="R25" s="36">
        <v>624</v>
      </c>
      <c r="S25" s="36">
        <v>1553</v>
      </c>
      <c r="T25" s="66">
        <v>3571</v>
      </c>
    </row>
    <row r="26" spans="1:21" ht="13.8" thickBot="1" x14ac:dyDescent="0.3">
      <c r="A26" s="38" t="s">
        <v>94</v>
      </c>
      <c r="B26" s="77">
        <f t="shared" si="0"/>
        <v>0.18761828557282689</v>
      </c>
      <c r="C26" s="123">
        <v>-86186.860600000073</v>
      </c>
      <c r="D26" s="87">
        <v>-81381</v>
      </c>
      <c r="E26" s="109">
        <f t="shared" ref="E26" si="1">SUM(E2:E25)</f>
        <v>139125.91929999995</v>
      </c>
      <c r="F26" s="87">
        <f t="shared" ref="F26:N26" si="2">SUM(F2:F25)</f>
        <v>117147</v>
      </c>
      <c r="G26" s="87">
        <f t="shared" si="2"/>
        <v>93356</v>
      </c>
      <c r="H26" s="87">
        <f t="shared" si="2"/>
        <v>133883</v>
      </c>
      <c r="I26" s="87">
        <f t="shared" si="2"/>
        <v>87462</v>
      </c>
      <c r="J26" s="87">
        <f t="shared" si="2"/>
        <v>153194</v>
      </c>
      <c r="K26" s="87">
        <f t="shared" si="2"/>
        <v>143478</v>
      </c>
      <c r="L26" s="87">
        <f t="shared" si="2"/>
        <v>81162</v>
      </c>
      <c r="M26" s="45">
        <f t="shared" si="2"/>
        <v>123894</v>
      </c>
      <c r="N26" s="45">
        <f t="shared" si="2"/>
        <v>120512</v>
      </c>
      <c r="O26" s="45">
        <f t="shared" ref="O26:T26" si="3">SUM(O2:O25)</f>
        <v>103904</v>
      </c>
      <c r="P26" s="45">
        <f t="shared" si="3"/>
        <v>155509</v>
      </c>
      <c r="Q26" s="45">
        <f t="shared" si="3"/>
        <v>40682</v>
      </c>
      <c r="R26" s="45">
        <f t="shared" si="3"/>
        <v>90045</v>
      </c>
      <c r="S26" s="45">
        <f t="shared" si="3"/>
        <v>92624</v>
      </c>
      <c r="T26" s="90">
        <f t="shared" si="3"/>
        <v>122738</v>
      </c>
    </row>
    <row r="28" spans="1:21" s="51" customFormat="1" ht="13.8" thickBot="1" x14ac:dyDescent="0.3">
      <c r="A28" s="76"/>
    </row>
    <row r="29" spans="1:21" s="51" customFormat="1" ht="13.8" thickBot="1" x14ac:dyDescent="0.3">
      <c r="A29" s="38" t="s">
        <v>24</v>
      </c>
      <c r="B29" s="118" t="s">
        <v>171</v>
      </c>
      <c r="C29" s="48" t="s">
        <v>172</v>
      </c>
      <c r="D29" s="78" t="s">
        <v>169</v>
      </c>
      <c r="E29" s="104">
        <v>45809</v>
      </c>
      <c r="F29" s="110">
        <v>45444</v>
      </c>
      <c r="G29" s="110">
        <v>45078</v>
      </c>
      <c r="H29" s="110">
        <v>44713</v>
      </c>
      <c r="I29" s="110">
        <v>44348</v>
      </c>
      <c r="J29" s="110">
        <v>43983</v>
      </c>
      <c r="K29" s="110">
        <v>43617</v>
      </c>
      <c r="L29" s="110">
        <v>43252</v>
      </c>
      <c r="M29" s="24">
        <v>42887</v>
      </c>
      <c r="N29" s="24">
        <v>42522</v>
      </c>
      <c r="O29" s="24">
        <v>42156</v>
      </c>
      <c r="P29" s="24">
        <v>41791</v>
      </c>
      <c r="Q29" s="24">
        <v>41426</v>
      </c>
      <c r="R29" s="24">
        <v>41061</v>
      </c>
      <c r="S29" s="24">
        <v>40695</v>
      </c>
      <c r="T29" s="25">
        <v>40330</v>
      </c>
    </row>
    <row r="30" spans="1:21" x14ac:dyDescent="0.25">
      <c r="A30" s="53" t="s">
        <v>139</v>
      </c>
      <c r="B30" s="46">
        <f t="shared" ref="B30:B38" si="4">IFERROR(((E30-F30)/F30),"")</f>
        <v>-0.15516896551724138</v>
      </c>
      <c r="C30" s="73">
        <v>-266.42840000000001</v>
      </c>
      <c r="D30" s="37">
        <v>-342</v>
      </c>
      <c r="E30" s="42">
        <v>24.5001</v>
      </c>
      <c r="F30" s="37">
        <v>29</v>
      </c>
      <c r="G30" s="37">
        <v>2</v>
      </c>
      <c r="H30" s="37">
        <v>52</v>
      </c>
      <c r="I30" s="37">
        <v>55</v>
      </c>
      <c r="J30" s="37">
        <v>80</v>
      </c>
      <c r="K30" s="37">
        <v>127</v>
      </c>
      <c r="L30" s="37">
        <v>208</v>
      </c>
      <c r="M30" s="103">
        <v>30</v>
      </c>
      <c r="N30">
        <v>82</v>
      </c>
      <c r="O30">
        <v>154</v>
      </c>
      <c r="P30">
        <v>921</v>
      </c>
      <c r="Q30">
        <v>921</v>
      </c>
      <c r="S30" s="103"/>
      <c r="T30" s="96"/>
    </row>
    <row r="31" spans="1:21" x14ac:dyDescent="0.25">
      <c r="A31" s="53" t="s">
        <v>140</v>
      </c>
      <c r="B31" s="46" t="str">
        <f t="shared" si="4"/>
        <v/>
      </c>
      <c r="C31" s="73">
        <v>0</v>
      </c>
      <c r="D31" s="37">
        <v>0</v>
      </c>
      <c r="E31" s="42"/>
      <c r="F31" s="37"/>
      <c r="G31" s="37"/>
      <c r="H31" s="37"/>
      <c r="I31" s="37"/>
      <c r="J31" s="37"/>
      <c r="K31" s="37"/>
      <c r="L31" s="37">
        <v>0</v>
      </c>
      <c r="M31" s="103">
        <v>0</v>
      </c>
      <c r="N31" s="103"/>
      <c r="O31" s="103"/>
      <c r="P31" s="103"/>
      <c r="Q31" s="103"/>
      <c r="R31" s="103"/>
      <c r="S31" s="103"/>
      <c r="T31" s="96"/>
    </row>
    <row r="32" spans="1:21" x14ac:dyDescent="0.25">
      <c r="A32" s="53" t="s">
        <v>7</v>
      </c>
      <c r="B32" s="46">
        <f t="shared" si="4"/>
        <v>22.052575000000001</v>
      </c>
      <c r="C32" s="73">
        <v>-67.094999999999985</v>
      </c>
      <c r="D32" s="37">
        <v>-48</v>
      </c>
      <c r="E32" s="42">
        <v>92.210300000000004</v>
      </c>
      <c r="F32" s="37">
        <v>4</v>
      </c>
      <c r="G32" s="37">
        <v>131</v>
      </c>
      <c r="H32" s="37">
        <v>199</v>
      </c>
      <c r="I32" s="37">
        <v>274</v>
      </c>
      <c r="J32" s="37">
        <v>197</v>
      </c>
      <c r="K32" s="37">
        <v>179</v>
      </c>
      <c r="L32" s="37">
        <v>165</v>
      </c>
      <c r="M32" s="37">
        <v>2</v>
      </c>
      <c r="N32" s="37">
        <v>57</v>
      </c>
      <c r="O32" s="37">
        <v>6</v>
      </c>
      <c r="P32" s="37">
        <v>40</v>
      </c>
      <c r="Q32" s="37"/>
      <c r="R32" s="37"/>
      <c r="S32" s="37"/>
      <c r="T32" s="65"/>
    </row>
    <row r="33" spans="1:20" x14ac:dyDescent="0.25">
      <c r="A33" s="53" t="s">
        <v>95</v>
      </c>
      <c r="B33" s="46">
        <f t="shared" si="4"/>
        <v>6.8510333333333335</v>
      </c>
      <c r="C33" s="73">
        <v>-28.003099999999996</v>
      </c>
      <c r="D33" s="37">
        <v>0</v>
      </c>
      <c r="E33" s="42">
        <v>23.553100000000001</v>
      </c>
      <c r="F33" s="37">
        <v>3</v>
      </c>
      <c r="G33" s="37">
        <v>10</v>
      </c>
      <c r="H33" s="37"/>
      <c r="I33" s="37"/>
      <c r="J33" s="37">
        <v>4</v>
      </c>
      <c r="K33" s="37">
        <v>12</v>
      </c>
      <c r="L33" s="37">
        <v>76</v>
      </c>
      <c r="M33" s="103">
        <v>0</v>
      </c>
      <c r="N33" s="103">
        <v>58</v>
      </c>
      <c r="O33" s="103">
        <v>3</v>
      </c>
      <c r="P33" s="103">
        <v>3</v>
      </c>
      <c r="Q33" s="103"/>
      <c r="R33" s="103"/>
      <c r="S33" s="37"/>
      <c r="T33" s="65"/>
    </row>
    <row r="34" spans="1:20" x14ac:dyDescent="0.25">
      <c r="A34" s="53" t="s">
        <v>141</v>
      </c>
      <c r="B34" s="46" t="str">
        <f t="shared" si="4"/>
        <v/>
      </c>
      <c r="C34" s="73">
        <v>0</v>
      </c>
      <c r="D34" s="37">
        <v>0</v>
      </c>
      <c r="E34" s="42"/>
      <c r="F34" s="37"/>
      <c r="G34" s="37"/>
      <c r="H34" s="37"/>
      <c r="I34" s="37"/>
      <c r="J34" s="37"/>
      <c r="K34" s="37"/>
      <c r="L34" s="37">
        <v>0</v>
      </c>
      <c r="M34" s="37">
        <v>0</v>
      </c>
      <c r="N34" s="37"/>
      <c r="O34" s="37"/>
      <c r="P34" s="37"/>
      <c r="Q34" s="37"/>
      <c r="R34" s="37"/>
      <c r="S34" s="37"/>
      <c r="T34" s="65"/>
    </row>
    <row r="35" spans="1:20" x14ac:dyDescent="0.25">
      <c r="A35" s="53" t="s">
        <v>142</v>
      </c>
      <c r="B35" s="46" t="str">
        <f t="shared" si="4"/>
        <v/>
      </c>
      <c r="C35" s="73">
        <v>-30.238699999999994</v>
      </c>
      <c r="D35" s="37">
        <v>-6</v>
      </c>
      <c r="E35" s="42">
        <v>48.4422</v>
      </c>
      <c r="F35" s="37">
        <v>0</v>
      </c>
      <c r="G35" s="37"/>
      <c r="H35" s="37"/>
      <c r="I35" s="37"/>
      <c r="J35" s="37"/>
      <c r="K35" s="37"/>
      <c r="L35" s="37">
        <v>0</v>
      </c>
      <c r="M35" s="37">
        <v>0</v>
      </c>
      <c r="N35" s="37"/>
      <c r="O35" s="37"/>
      <c r="P35" s="37"/>
      <c r="Q35" s="37"/>
      <c r="R35" s="37"/>
      <c r="S35" s="37"/>
      <c r="T35" s="65"/>
    </row>
    <row r="36" spans="1:20" x14ac:dyDescent="0.25">
      <c r="A36" s="53" t="s">
        <v>143</v>
      </c>
      <c r="B36" s="46" t="str">
        <f t="shared" si="4"/>
        <v/>
      </c>
      <c r="C36" s="73">
        <v>0</v>
      </c>
      <c r="D36" s="37">
        <v>0</v>
      </c>
      <c r="E36" s="42"/>
      <c r="F36" s="37"/>
      <c r="G36" s="37"/>
      <c r="H36" s="37"/>
      <c r="I36" s="37"/>
      <c r="J36" s="37"/>
      <c r="K36" s="37"/>
      <c r="L36" s="37">
        <v>0</v>
      </c>
      <c r="M36" s="37">
        <v>0</v>
      </c>
      <c r="N36" s="37"/>
      <c r="O36" s="37"/>
      <c r="P36" s="37"/>
      <c r="Q36" s="37"/>
      <c r="R36" s="37"/>
      <c r="S36" s="37"/>
      <c r="T36" s="65"/>
    </row>
    <row r="37" spans="1:20" ht="13.8" thickBot="1" x14ac:dyDescent="0.3">
      <c r="A37" s="57" t="s">
        <v>6</v>
      </c>
      <c r="B37" s="47">
        <f t="shared" si="4"/>
        <v>-0.46678200000000003</v>
      </c>
      <c r="C37" s="74">
        <v>-585.14260000000013</v>
      </c>
      <c r="D37" s="36">
        <v>-18</v>
      </c>
      <c r="E37" s="43">
        <v>53.321799999999996</v>
      </c>
      <c r="F37" s="36">
        <v>100</v>
      </c>
      <c r="G37" s="36">
        <v>63</v>
      </c>
      <c r="H37" s="36">
        <v>28</v>
      </c>
      <c r="I37" s="36">
        <f>136+97</f>
        <v>233</v>
      </c>
      <c r="J37" s="36">
        <v>27</v>
      </c>
      <c r="K37" s="36">
        <v>364</v>
      </c>
      <c r="L37" s="36">
        <v>0</v>
      </c>
      <c r="M37" s="36">
        <v>0</v>
      </c>
      <c r="N37" s="37">
        <v>2</v>
      </c>
      <c r="O37" s="37"/>
      <c r="P37" s="37">
        <v>27</v>
      </c>
      <c r="Q37" s="37"/>
      <c r="R37" s="37"/>
      <c r="S37" s="37"/>
      <c r="T37" s="65"/>
    </row>
    <row r="38" spans="1:20" ht="13.8" thickBot="1" x14ac:dyDescent="0.3">
      <c r="A38" s="38" t="s">
        <v>94</v>
      </c>
      <c r="B38" s="77">
        <f t="shared" si="4"/>
        <v>0.77961397058823556</v>
      </c>
      <c r="C38" s="123">
        <v>-976.90780000000007</v>
      </c>
      <c r="D38" s="87">
        <v>-414</v>
      </c>
      <c r="E38" s="109">
        <f t="shared" ref="E38" si="5">SUM(E30:E37)</f>
        <v>242.02750000000003</v>
      </c>
      <c r="F38" s="87">
        <f t="shared" ref="F38:P38" si="6">SUM(F30:F37)</f>
        <v>136</v>
      </c>
      <c r="G38" s="87">
        <f t="shared" si="6"/>
        <v>206</v>
      </c>
      <c r="H38" s="87">
        <f t="shared" si="6"/>
        <v>279</v>
      </c>
      <c r="I38" s="87">
        <f t="shared" si="6"/>
        <v>562</v>
      </c>
      <c r="J38" s="87">
        <f t="shared" si="6"/>
        <v>308</v>
      </c>
      <c r="K38" s="87">
        <f t="shared" si="6"/>
        <v>682</v>
      </c>
      <c r="L38" s="87">
        <f t="shared" si="6"/>
        <v>449</v>
      </c>
      <c r="M38" s="33">
        <f t="shared" si="6"/>
        <v>32</v>
      </c>
      <c r="N38" s="45">
        <f t="shared" si="6"/>
        <v>199</v>
      </c>
      <c r="O38" s="45">
        <f t="shared" si="6"/>
        <v>163</v>
      </c>
      <c r="P38" s="45">
        <f t="shared" si="6"/>
        <v>991</v>
      </c>
      <c r="Q38" s="45"/>
      <c r="R38" s="45"/>
      <c r="S38" s="45"/>
      <c r="T38" s="90"/>
    </row>
    <row r="47" spans="1:20" x14ac:dyDescent="0.25">
      <c r="E47">
        <v>388</v>
      </c>
      <c r="F47">
        <v>316</v>
      </c>
      <c r="G47">
        <v>2370</v>
      </c>
      <c r="H47">
        <v>461</v>
      </c>
    </row>
  </sheetData>
  <conditionalFormatting sqref="E1 E29">
    <cfRule type="expression" dxfId="16" priority="2">
      <formula>ISBLANK(XFD1)=FALSE</formula>
    </cfRule>
  </conditionalFormatting>
  <pageMargins left="0.75" right="0.75" top="1" bottom="1" header="0.5" footer="0.5"/>
  <pageSetup paperSize="9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9" ma:contentTypeDescription="Create a new document." ma:contentTypeScope="" ma:versionID="d415c4e6c21f07e0949d980b921a5823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e6b2bb95aefe090df84aa629f99880c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6BFD1D-0E23-470D-B53E-483758497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9C39ED-52DD-4A73-AD0F-D8346ECF70D3}">
  <ds:schemaRefs>
    <ds:schemaRef ds:uri="0302a5af-5ac8-462a-a23b-b4d1027da431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d5a9754-d989-458f-8bd1-64889b46f6f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9D19CA-E470-5742-AA66-87674A81060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C1A70BC-F3A0-2147-B48E-193D7791D0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France!Print_Area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2019-07-24T12:59:53Z</cp:lastPrinted>
  <dcterms:created xsi:type="dcterms:W3CDTF">2006-12-13T13:34:27Z</dcterms:created>
  <dcterms:modified xsi:type="dcterms:W3CDTF">2025-06-25T14:30:22Z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424200.000000000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