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reshfel365.sharepoint.com/sites/common1/Shared Documents/NEW SYSTEM/WAPA/Stocks/WAPA Stocks/Send/"/>
    </mc:Choice>
  </mc:AlternateContent>
  <xr:revisionPtr revIDLastSave="983" documentId="8_{2997C294-D778-487A-B9BE-18609DF5C138}" xr6:coauthVersionLast="47" xr6:coauthVersionMax="47" xr10:uidLastSave="{8CC1E45F-9861-40CA-8834-5E59C9865B19}"/>
  <bookViews>
    <workbookView xWindow="28680" yWindow="-120" windowWidth="29040" windowHeight="15720" tabRatio="596" activeTab="2" xr2:uid="{00000000-000D-0000-FFFF-FFFF00000000}"/>
  </bookViews>
  <sheets>
    <sheet name="Intro" sheetId="22" r:id="rId1"/>
    <sheet name="US" sheetId="9" r:id="rId2"/>
    <sheet name="Europe - country" sheetId="1" r:id="rId3"/>
    <sheet name="Europe - variety" sheetId="2" r:id="rId4"/>
    <sheet name="Austria" sheetId="25" r:id="rId5"/>
    <sheet name="Belgium" sheetId="26" r:id="rId6"/>
    <sheet name="Czech Republic" sheetId="27" r:id="rId7"/>
    <sheet name="Denmark" sheetId="28" r:id="rId8"/>
    <sheet name="France" sheetId="35" r:id="rId9"/>
    <sheet name="Germany" sheetId="29" r:id="rId10"/>
    <sheet name="Italy" sheetId="31" r:id="rId11"/>
    <sheet name="Poland" sheetId="36" r:id="rId12"/>
    <sheet name="Portugal" sheetId="38" r:id="rId13"/>
    <sheet name="Spain" sheetId="33" r:id="rId14"/>
    <sheet name="Switzerland" sheetId="34" r:id="rId15"/>
    <sheet name="Netherlands" sheetId="32" r:id="rId16"/>
    <sheet name="UK" sheetId="30" r:id="rId17"/>
  </sheets>
  <definedNames>
    <definedName name="_xlnm.Print_Area" localSheetId="2">'Europe - country'!$A$1:$AA$33</definedName>
    <definedName name="_xlnm.Print_Area" localSheetId="3">'Europe - variety'!$A$1:$U$44</definedName>
    <definedName name="_xlnm.Print_Area" localSheetId="1">US!$A$1:$Y$41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9" l="1"/>
  <c r="B27" i="9"/>
  <c r="D44" i="2"/>
  <c r="C44" i="2"/>
  <c r="B32" i="1"/>
  <c r="B15" i="1"/>
  <c r="F12" i="30"/>
  <c r="G12" i="30"/>
  <c r="H12" i="30"/>
  <c r="I12" i="30"/>
  <c r="J12" i="30"/>
  <c r="K12" i="30"/>
  <c r="L12" i="30"/>
  <c r="N12" i="30"/>
  <c r="O12" i="30"/>
  <c r="P12" i="30"/>
  <c r="Q12" i="30"/>
  <c r="R12" i="30"/>
  <c r="S12" i="30"/>
  <c r="T12" i="30"/>
  <c r="U12" i="30"/>
  <c r="V12" i="30"/>
  <c r="W12" i="30"/>
  <c r="G19" i="30"/>
  <c r="H19" i="30"/>
  <c r="I19" i="30"/>
  <c r="J19" i="30"/>
  <c r="K19" i="30"/>
  <c r="N19" i="30"/>
  <c r="P19" i="30"/>
  <c r="Q19" i="30"/>
  <c r="R19" i="30"/>
  <c r="S19" i="30"/>
  <c r="T19" i="30"/>
  <c r="U19" i="30"/>
  <c r="V19" i="30"/>
  <c r="W19" i="30"/>
  <c r="B29" i="31"/>
  <c r="B28" i="31"/>
  <c r="B27" i="31"/>
  <c r="B26" i="31"/>
  <c r="B25" i="31"/>
  <c r="B24" i="31"/>
  <c r="B26" i="9"/>
  <c r="G25" i="36"/>
  <c r="F25" i="36"/>
  <c r="E25" i="36"/>
  <c r="G18" i="36"/>
  <c r="F18" i="36"/>
  <c r="E18" i="36"/>
  <c r="E40" i="2" l="1"/>
  <c r="C32" i="1"/>
  <c r="C29" i="1"/>
  <c r="C26" i="1"/>
  <c r="C25" i="1"/>
  <c r="C22" i="1"/>
  <c r="C21" i="1"/>
  <c r="C27" i="1" l="1"/>
  <c r="E19" i="31" l="1"/>
  <c r="C23" i="1" l="1"/>
  <c r="C5" i="1" l="1"/>
  <c r="C15" i="1"/>
  <c r="C12" i="1"/>
  <c r="C10" i="1"/>
  <c r="C9" i="1"/>
  <c r="C8" i="1"/>
  <c r="C6" i="1"/>
  <c r="C4" i="1"/>
  <c r="C24" i="1" l="1"/>
  <c r="C7" i="1"/>
  <c r="F26" i="29"/>
  <c r="E26" i="29"/>
  <c r="C31" i="1"/>
  <c r="C14" i="1"/>
  <c r="C30" i="1" l="1"/>
  <c r="C13" i="1"/>
  <c r="C20" i="1" l="1"/>
  <c r="C33" i="1" s="1"/>
  <c r="C3" i="1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40" i="2"/>
  <c r="F43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E31" i="2"/>
  <c r="E30" i="2"/>
  <c r="E19" i="2"/>
  <c r="E18" i="2"/>
  <c r="E12" i="2"/>
  <c r="E8" i="2"/>
  <c r="E6" i="2"/>
  <c r="E5" i="2"/>
  <c r="E4" i="2"/>
  <c r="F39" i="2"/>
  <c r="E39" i="2"/>
  <c r="E42" i="2"/>
  <c r="E41" i="2"/>
  <c r="E38" i="2"/>
  <c r="E37" i="2"/>
  <c r="E36" i="2"/>
  <c r="E28" i="2"/>
  <c r="E27" i="2"/>
  <c r="E26" i="2"/>
  <c r="E25" i="2"/>
  <c r="E24" i="2"/>
  <c r="E23" i="2"/>
  <c r="E22" i="2"/>
  <c r="E21" i="2"/>
  <c r="E20" i="2"/>
  <c r="E17" i="2"/>
  <c r="E16" i="2"/>
  <c r="E15" i="2"/>
  <c r="E14" i="2"/>
  <c r="E13" i="2"/>
  <c r="E11" i="2"/>
  <c r="E10" i="2"/>
  <c r="E9" i="2"/>
  <c r="E7" i="2"/>
  <c r="E3" i="2"/>
  <c r="E2" i="2"/>
  <c r="D10" i="1"/>
  <c r="D22" i="1"/>
  <c r="W32" i="1"/>
  <c r="W15" i="1"/>
  <c r="B27" i="2" l="1"/>
  <c r="E27" i="1" l="1"/>
  <c r="E25" i="1"/>
  <c r="E24" i="1"/>
  <c r="E22" i="1"/>
  <c r="E10" i="1"/>
  <c r="E2" i="1"/>
  <c r="C2" i="1"/>
  <c r="C16" i="1" s="1"/>
  <c r="E43" i="2" l="1"/>
  <c r="E29" i="2"/>
  <c r="D25" i="1"/>
  <c r="D24" i="1"/>
  <c r="D2" i="1"/>
  <c r="E19" i="30"/>
  <c r="B18" i="30"/>
  <c r="B17" i="30"/>
  <c r="B16" i="30"/>
  <c r="E12" i="30"/>
  <c r="B11" i="30"/>
  <c r="B10" i="30"/>
  <c r="B9" i="30"/>
  <c r="B8" i="30"/>
  <c r="B7" i="30"/>
  <c r="B6" i="30"/>
  <c r="B5" i="30"/>
  <c r="B4" i="30"/>
  <c r="B3" i="30"/>
  <c r="B2" i="30"/>
  <c r="E15" i="32"/>
  <c r="E31" i="1" s="1"/>
  <c r="B14" i="32"/>
  <c r="B13" i="32"/>
  <c r="B12" i="32"/>
  <c r="E8" i="32"/>
  <c r="E14" i="1" s="1"/>
  <c r="B7" i="32"/>
  <c r="B6" i="32"/>
  <c r="B5" i="32"/>
  <c r="B4" i="32"/>
  <c r="B3" i="32"/>
  <c r="B2" i="32"/>
  <c r="E28" i="34"/>
  <c r="B27" i="34"/>
  <c r="B26" i="34"/>
  <c r="B25" i="34"/>
  <c r="B24" i="34"/>
  <c r="B23" i="34"/>
  <c r="E19" i="34"/>
  <c r="B18" i="34"/>
  <c r="B17" i="34"/>
  <c r="B16" i="34"/>
  <c r="B15" i="34"/>
  <c r="B14" i="34"/>
  <c r="B13" i="34"/>
  <c r="B12" i="34"/>
  <c r="B11" i="34"/>
  <c r="B10" i="34"/>
  <c r="B9" i="34"/>
  <c r="B8" i="34"/>
  <c r="B7" i="34"/>
  <c r="B6" i="34"/>
  <c r="B5" i="34"/>
  <c r="B4" i="34"/>
  <c r="B3" i="34"/>
  <c r="B2" i="34"/>
  <c r="E17" i="33"/>
  <c r="B16" i="33"/>
  <c r="B15" i="33"/>
  <c r="B14" i="33"/>
  <c r="B13" i="33"/>
  <c r="B12" i="33"/>
  <c r="E8" i="33"/>
  <c r="E12" i="1" s="1"/>
  <c r="B7" i="33"/>
  <c r="B6" i="33"/>
  <c r="B5" i="33"/>
  <c r="B4" i="33"/>
  <c r="B3" i="33"/>
  <c r="B2" i="33"/>
  <c r="B13" i="38"/>
  <c r="B9" i="38"/>
  <c r="B8" i="38"/>
  <c r="B7" i="38"/>
  <c r="B6" i="38"/>
  <c r="B5" i="38"/>
  <c r="B4" i="38"/>
  <c r="B3" i="38"/>
  <c r="B2" i="38"/>
  <c r="E26" i="1"/>
  <c r="B24" i="36"/>
  <c r="B23" i="36"/>
  <c r="B22" i="36"/>
  <c r="E9" i="1"/>
  <c r="B17" i="36"/>
  <c r="B16" i="36"/>
  <c r="B15" i="36"/>
  <c r="B14" i="36"/>
  <c r="B13" i="36"/>
  <c r="B12" i="36"/>
  <c r="B11" i="36"/>
  <c r="B10" i="36"/>
  <c r="B9" i="36"/>
  <c r="B8" i="36"/>
  <c r="B7" i="36"/>
  <c r="B6" i="36"/>
  <c r="B5" i="36"/>
  <c r="B4" i="36"/>
  <c r="B3" i="36"/>
  <c r="B2" i="36"/>
  <c r="E29" i="31"/>
  <c r="E20" i="31"/>
  <c r="E8" i="1" s="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B5" i="31"/>
  <c r="B4" i="31"/>
  <c r="B3" i="31"/>
  <c r="B2" i="31"/>
  <c r="B26" i="29"/>
  <c r="B25" i="29"/>
  <c r="E21" i="29"/>
  <c r="E7" i="1" s="1"/>
  <c r="B20" i="29"/>
  <c r="B19" i="29"/>
  <c r="B18" i="29"/>
  <c r="B17" i="29"/>
  <c r="B16" i="29"/>
  <c r="B15" i="29"/>
  <c r="B14" i="29"/>
  <c r="B13" i="29"/>
  <c r="B12" i="29"/>
  <c r="B11" i="29"/>
  <c r="B10" i="29"/>
  <c r="B9" i="29"/>
  <c r="B8" i="29"/>
  <c r="B7" i="29"/>
  <c r="B6" i="29"/>
  <c r="B5" i="29"/>
  <c r="B4" i="29"/>
  <c r="B3" i="29"/>
  <c r="B2" i="29"/>
  <c r="E38" i="35"/>
  <c r="B37" i="35"/>
  <c r="B36" i="35"/>
  <c r="B35" i="35"/>
  <c r="B34" i="35"/>
  <c r="B33" i="35"/>
  <c r="B32" i="35"/>
  <c r="B31" i="35"/>
  <c r="B30" i="35"/>
  <c r="E26" i="35"/>
  <c r="E6" i="1" s="1"/>
  <c r="B25" i="35"/>
  <c r="B24" i="35"/>
  <c r="B23" i="35"/>
  <c r="B22" i="35"/>
  <c r="B21" i="35"/>
  <c r="B20" i="35"/>
  <c r="B19" i="35"/>
  <c r="B18" i="35"/>
  <c r="B17" i="35"/>
  <c r="B16" i="35"/>
  <c r="B15" i="35"/>
  <c r="B14" i="35"/>
  <c r="B13" i="35"/>
  <c r="B12" i="35"/>
  <c r="B11" i="35"/>
  <c r="B10" i="35"/>
  <c r="B9" i="35"/>
  <c r="B8" i="35"/>
  <c r="B7" i="35"/>
  <c r="B6" i="35"/>
  <c r="B5" i="35"/>
  <c r="B4" i="35"/>
  <c r="B3" i="35"/>
  <c r="B2" i="35"/>
  <c r="B27" i="28"/>
  <c r="B26" i="28"/>
  <c r="B25" i="28"/>
  <c r="B24" i="28"/>
  <c r="E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B5" i="28"/>
  <c r="B4" i="28"/>
  <c r="B3" i="28"/>
  <c r="B2" i="28"/>
  <c r="E21" i="27"/>
  <c r="B20" i="27"/>
  <c r="B19" i="27"/>
  <c r="B18" i="27"/>
  <c r="B17" i="27"/>
  <c r="B16" i="27"/>
  <c r="E12" i="27"/>
  <c r="E4" i="1" s="1"/>
  <c r="B11" i="27"/>
  <c r="B10" i="27"/>
  <c r="B9" i="27"/>
  <c r="B8" i="27"/>
  <c r="B7" i="27"/>
  <c r="B6" i="27"/>
  <c r="B5" i="27"/>
  <c r="B4" i="27"/>
  <c r="B3" i="27"/>
  <c r="B2" i="27"/>
  <c r="E20" i="26"/>
  <c r="E20" i="1" s="1"/>
  <c r="B19" i="26"/>
  <c r="B18" i="26"/>
  <c r="B17" i="26"/>
  <c r="B16" i="26"/>
  <c r="B15" i="26"/>
  <c r="E10" i="26"/>
  <c r="E3" i="1" s="1"/>
  <c r="B9" i="26"/>
  <c r="B8" i="26"/>
  <c r="B7" i="26"/>
  <c r="B6" i="26"/>
  <c r="B5" i="26"/>
  <c r="B4" i="26"/>
  <c r="B3" i="26"/>
  <c r="B2" i="26"/>
  <c r="E21" i="25"/>
  <c r="B21" i="25" s="1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4" i="25"/>
  <c r="B3" i="25"/>
  <c r="B2" i="25"/>
  <c r="B41" i="2"/>
  <c r="B36" i="2"/>
  <c r="B28" i="2"/>
  <c r="B26" i="2"/>
  <c r="B25" i="2"/>
  <c r="B24" i="2"/>
  <c r="B23" i="2"/>
  <c r="B22" i="2"/>
  <c r="B21" i="2"/>
  <c r="B20" i="2"/>
  <c r="B17" i="2"/>
  <c r="B16" i="2"/>
  <c r="B15" i="2"/>
  <c r="B14" i="2"/>
  <c r="B13" i="2"/>
  <c r="B11" i="2"/>
  <c r="B10" i="2"/>
  <c r="B9" i="2"/>
  <c r="B7" i="2"/>
  <c r="B3" i="2"/>
  <c r="B2" i="2"/>
  <c r="B28" i="1"/>
  <c r="B25" i="1"/>
  <c r="B22" i="1"/>
  <c r="B11" i="1"/>
  <c r="B10" i="1"/>
  <c r="B2" i="1"/>
  <c r="E41" i="9"/>
  <c r="B40" i="9"/>
  <c r="B39" i="9"/>
  <c r="B38" i="9"/>
  <c r="B37" i="9"/>
  <c r="B36" i="9"/>
  <c r="B35" i="9"/>
  <c r="B34" i="9"/>
  <c r="B33" i="9"/>
  <c r="B32" i="9"/>
  <c r="B31" i="9"/>
  <c r="E27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2" i="9"/>
  <c r="E32" i="1" l="1"/>
  <c r="E15" i="1"/>
  <c r="E29" i="1"/>
  <c r="E44" i="2"/>
  <c r="E32" i="2"/>
  <c r="E23" i="1"/>
  <c r="E5" i="1"/>
  <c r="E21" i="1"/>
  <c r="E30" i="1"/>
  <c r="E13" i="1"/>
  <c r="E16" i="1"/>
  <c r="F42" i="2"/>
  <c r="F41" i="2"/>
  <c r="F38" i="2"/>
  <c r="F37" i="2"/>
  <c r="F36" i="2"/>
  <c r="B37" i="2" l="1"/>
  <c r="B38" i="2"/>
  <c r="E33" i="1"/>
  <c r="B42" i="2"/>
  <c r="B8" i="2"/>
  <c r="B18" i="2"/>
  <c r="B19" i="2"/>
  <c r="B12" i="2"/>
  <c r="B29" i="2"/>
  <c r="B31" i="2"/>
  <c r="B39" i="2"/>
  <c r="B4" i="2"/>
  <c r="B40" i="2"/>
  <c r="B5" i="2"/>
  <c r="B6" i="2"/>
  <c r="B30" i="2"/>
  <c r="F25" i="1"/>
  <c r="F22" i="1"/>
  <c r="F10" i="1"/>
  <c r="F15" i="32" l="1"/>
  <c r="F8" i="32"/>
  <c r="F8" i="33"/>
  <c r="F19" i="34"/>
  <c r="F28" i="34"/>
  <c r="F17" i="33"/>
  <c r="F20" i="31"/>
  <c r="F21" i="29"/>
  <c r="F38" i="35"/>
  <c r="F26" i="35"/>
  <c r="F27" i="28"/>
  <c r="F20" i="28"/>
  <c r="F21" i="27"/>
  <c r="F12" i="27"/>
  <c r="F20" i="26"/>
  <c r="F10" i="26"/>
  <c r="F21" i="25"/>
  <c r="F32" i="2"/>
  <c r="F41" i="9"/>
  <c r="F27" i="9"/>
  <c r="G19" i="34"/>
  <c r="F19" i="30"/>
  <c r="G20" i="26"/>
  <c r="G10" i="26"/>
  <c r="D32" i="1" l="1"/>
  <c r="B19" i="30"/>
  <c r="D15" i="1"/>
  <c r="B12" i="30"/>
  <c r="D29" i="1"/>
  <c r="B17" i="33"/>
  <c r="D12" i="1"/>
  <c r="B8" i="33"/>
  <c r="D26" i="1"/>
  <c r="B25" i="36"/>
  <c r="D9" i="1"/>
  <c r="B18" i="36"/>
  <c r="D27" i="1"/>
  <c r="B14" i="38"/>
  <c r="B20" i="31"/>
  <c r="D8" i="1"/>
  <c r="D23" i="1"/>
  <c r="B38" i="35"/>
  <c r="B26" i="35"/>
  <c r="D6" i="1"/>
  <c r="D5" i="1"/>
  <c r="B20" i="28"/>
  <c r="D7" i="1"/>
  <c r="B21" i="29"/>
  <c r="D31" i="1"/>
  <c r="B15" i="32"/>
  <c r="D14" i="1"/>
  <c r="B8" i="32"/>
  <c r="D21" i="1"/>
  <c r="B21" i="27"/>
  <c r="D4" i="1"/>
  <c r="B12" i="27"/>
  <c r="D30" i="1"/>
  <c r="B28" i="34"/>
  <c r="D13" i="1"/>
  <c r="B19" i="34"/>
  <c r="D20" i="1"/>
  <c r="B20" i="26"/>
  <c r="D3" i="1"/>
  <c r="B10" i="26"/>
  <c r="B32" i="2"/>
  <c r="F3" i="1"/>
  <c r="B3" i="1" s="1"/>
  <c r="F6" i="1"/>
  <c r="B6" i="1" s="1"/>
  <c r="F29" i="1"/>
  <c r="B29" i="1" s="1"/>
  <c r="F2" i="1"/>
  <c r="F23" i="1"/>
  <c r="B23" i="1" s="1"/>
  <c r="F20" i="1"/>
  <c r="B20" i="1" s="1"/>
  <c r="F24" i="1"/>
  <c r="B24" i="1" s="1"/>
  <c r="F12" i="1"/>
  <c r="B12" i="1" s="1"/>
  <c r="F13" i="1"/>
  <c r="B13" i="1" s="1"/>
  <c r="F8" i="1"/>
  <c r="B8" i="1" s="1"/>
  <c r="F14" i="1"/>
  <c r="B14" i="1" s="1"/>
  <c r="F7" i="1"/>
  <c r="B7" i="1" s="1"/>
  <c r="F21" i="1"/>
  <c r="B21" i="1" s="1"/>
  <c r="F9" i="1"/>
  <c r="B9" i="1" s="1"/>
  <c r="F31" i="1"/>
  <c r="B31" i="1" s="1"/>
  <c r="F5" i="1"/>
  <c r="B5" i="1" s="1"/>
  <c r="F26" i="1"/>
  <c r="B26" i="1" s="1"/>
  <c r="F27" i="1"/>
  <c r="B27" i="1" s="1"/>
  <c r="F4" i="1"/>
  <c r="B4" i="1" s="1"/>
  <c r="F30" i="1"/>
  <c r="B30" i="1" s="1"/>
  <c r="G27" i="9"/>
  <c r="H26" i="9"/>
  <c r="D33" i="1" l="1"/>
  <c r="D16" i="1"/>
  <c r="B43" i="2"/>
  <c r="F44" i="2"/>
  <c r="G41" i="9"/>
  <c r="B44" i="2" l="1"/>
  <c r="G29" i="31" l="1"/>
  <c r="G20" i="31" l="1"/>
  <c r="G38" i="35" l="1"/>
  <c r="H25" i="35"/>
  <c r="G26" i="35"/>
  <c r="G17" i="33" l="1"/>
  <c r="G8" i="33"/>
  <c r="G20" i="28"/>
  <c r="G21" i="29" l="1"/>
  <c r="G15" i="32" l="1"/>
  <c r="G8" i="32"/>
  <c r="G21" i="27" l="1"/>
  <c r="G12" i="27"/>
  <c r="G28" i="34" l="1"/>
  <c r="F32" i="1" l="1"/>
  <c r="F33" i="1" s="1"/>
  <c r="B33" i="1" s="1"/>
  <c r="G31" i="1"/>
  <c r="G30" i="1"/>
  <c r="G29" i="1"/>
  <c r="G27" i="1"/>
  <c r="G26" i="1"/>
  <c r="G25" i="1"/>
  <c r="G24" i="1"/>
  <c r="G23" i="1"/>
  <c r="G22" i="1"/>
  <c r="G21" i="1"/>
  <c r="G20" i="1"/>
  <c r="F15" i="1"/>
  <c r="F16" i="1" s="1"/>
  <c r="B16" i="1" s="1"/>
  <c r="G14" i="1"/>
  <c r="G13" i="1"/>
  <c r="G12" i="1"/>
  <c r="G10" i="1"/>
  <c r="G9" i="1"/>
  <c r="G8" i="1"/>
  <c r="G7" i="1"/>
  <c r="G6" i="1"/>
  <c r="G5" i="1"/>
  <c r="G4" i="1"/>
  <c r="G3" i="1"/>
  <c r="G21" i="25"/>
  <c r="G2" i="1" l="1"/>
  <c r="G44" i="2"/>
  <c r="G32" i="2"/>
  <c r="H41" i="9" l="1"/>
  <c r="I14" i="38"/>
  <c r="G15" i="1"/>
  <c r="G16" i="1" s="1"/>
  <c r="H28" i="34"/>
  <c r="H30" i="1" s="1"/>
  <c r="H17" i="33"/>
  <c r="H8" i="33"/>
  <c r="H18" i="36"/>
  <c r="H20" i="31"/>
  <c r="H15" i="32"/>
  <c r="H8" i="32"/>
  <c r="H14" i="1" s="1"/>
  <c r="H21" i="29"/>
  <c r="H38" i="35"/>
  <c r="H26" i="35"/>
  <c r="H6" i="1" s="1"/>
  <c r="H20" i="28"/>
  <c r="H21" i="27"/>
  <c r="H21" i="1" s="1"/>
  <c r="H12" i="27"/>
  <c r="H20" i="26"/>
  <c r="H10" i="26"/>
  <c r="H3" i="1" s="1"/>
  <c r="H31" i="1"/>
  <c r="H27" i="1"/>
  <c r="H26" i="1"/>
  <c r="H24" i="1"/>
  <c r="H22" i="1"/>
  <c r="H10" i="1"/>
  <c r="H4" i="1"/>
  <c r="H21" i="25"/>
  <c r="H27" i="9"/>
  <c r="I26" i="9"/>
  <c r="I10" i="1"/>
  <c r="I8" i="32"/>
  <c r="I14" i="1" s="1"/>
  <c r="I19" i="34"/>
  <c r="I8" i="33"/>
  <c r="I18" i="36"/>
  <c r="I9" i="1" s="1"/>
  <c r="I21" i="29"/>
  <c r="I26" i="35"/>
  <c r="I6" i="1" s="1"/>
  <c r="I20" i="28"/>
  <c r="I5" i="1" s="1"/>
  <c r="I12" i="27"/>
  <c r="I4" i="1" s="1"/>
  <c r="I10" i="26"/>
  <c r="I3" i="1" s="1"/>
  <c r="I21" i="25"/>
  <c r="I27" i="1"/>
  <c r="I26" i="1"/>
  <c r="I24" i="1"/>
  <c r="I22" i="1"/>
  <c r="I15" i="32"/>
  <c r="I20" i="26"/>
  <c r="I28" i="34"/>
  <c r="I17" i="33"/>
  <c r="I29" i="1" s="1"/>
  <c r="I41" i="9"/>
  <c r="I19" i="31"/>
  <c r="I20" i="31" s="1"/>
  <c r="I8" i="1" s="1"/>
  <c r="I38" i="35"/>
  <c r="I21" i="27"/>
  <c r="J14" i="38"/>
  <c r="J27" i="1" s="1"/>
  <c r="I32" i="1"/>
  <c r="I15" i="1"/>
  <c r="J30" i="1"/>
  <c r="J22" i="1"/>
  <c r="J20" i="1"/>
  <c r="J13" i="1"/>
  <c r="J10" i="1"/>
  <c r="J9" i="1"/>
  <c r="J5" i="1"/>
  <c r="J3" i="1"/>
  <c r="J21" i="27"/>
  <c r="J12" i="27"/>
  <c r="J25" i="36"/>
  <c r="J26" i="1"/>
  <c r="J41" i="9"/>
  <c r="J15" i="32"/>
  <c r="J31" i="1" s="1"/>
  <c r="J8" i="32"/>
  <c r="J26" i="29"/>
  <c r="J21" i="29"/>
  <c r="J7" i="1" s="1"/>
  <c r="J38" i="35"/>
  <c r="J23" i="1" s="1"/>
  <c r="J26" i="35"/>
  <c r="J6" i="1" s="1"/>
  <c r="J19" i="31"/>
  <c r="J26" i="9"/>
  <c r="J27" i="9" s="1"/>
  <c r="J17" i="33"/>
  <c r="J29" i="1" s="1"/>
  <c r="J8" i="33"/>
  <c r="J12" i="1" s="1"/>
  <c r="J21" i="25"/>
  <c r="J2" i="1" s="1"/>
  <c r="J32" i="1"/>
  <c r="J15" i="1"/>
  <c r="K15" i="32"/>
  <c r="K8" i="32"/>
  <c r="K14" i="1"/>
  <c r="K28" i="34"/>
  <c r="K30" i="1" s="1"/>
  <c r="K18" i="34"/>
  <c r="K17" i="34"/>
  <c r="K8" i="34"/>
  <c r="K6" i="34"/>
  <c r="K3" i="34"/>
  <c r="K17" i="33"/>
  <c r="K29" i="1" s="1"/>
  <c r="K8" i="33"/>
  <c r="K12" i="1" s="1"/>
  <c r="K14" i="38"/>
  <c r="K27" i="1" s="1"/>
  <c r="K18" i="36"/>
  <c r="K9" i="1"/>
  <c r="K20" i="31"/>
  <c r="K8" i="1" s="1"/>
  <c r="K21" i="29"/>
  <c r="K7" i="1" s="1"/>
  <c r="K38" i="35"/>
  <c r="K23" i="1"/>
  <c r="K26" i="35"/>
  <c r="K6" i="1" s="1"/>
  <c r="K20" i="28"/>
  <c r="K5" i="1" s="1"/>
  <c r="K21" i="27"/>
  <c r="K21" i="1" s="1"/>
  <c r="K12" i="27"/>
  <c r="K4" i="1" s="1"/>
  <c r="K20" i="26"/>
  <c r="K20" i="1" s="1"/>
  <c r="K10" i="26"/>
  <c r="K3" i="1" s="1"/>
  <c r="K20" i="25"/>
  <c r="K19" i="25"/>
  <c r="K13" i="25"/>
  <c r="K12" i="25"/>
  <c r="K10" i="25"/>
  <c r="K8" i="25"/>
  <c r="K7" i="25"/>
  <c r="K4" i="25"/>
  <c r="K2" i="25"/>
  <c r="K41" i="9"/>
  <c r="K26" i="9"/>
  <c r="K27" i="9"/>
  <c r="K31" i="1"/>
  <c r="K26" i="1"/>
  <c r="K24" i="1"/>
  <c r="K22" i="1"/>
  <c r="M20" i="28"/>
  <c r="M5" i="1" s="1"/>
  <c r="L3" i="34"/>
  <c r="L18" i="34"/>
  <c r="L20" i="26"/>
  <c r="L20" i="1" s="1"/>
  <c r="L21" i="1"/>
  <c r="L22" i="1"/>
  <c r="L38" i="35"/>
  <c r="L23" i="1" s="1"/>
  <c r="L24" i="1"/>
  <c r="L26" i="1"/>
  <c r="L14" i="38"/>
  <c r="L27" i="1" s="1"/>
  <c r="L17" i="33"/>
  <c r="L29" i="1" s="1"/>
  <c r="L30" i="1"/>
  <c r="L31" i="1"/>
  <c r="K32" i="1"/>
  <c r="K15" i="1"/>
  <c r="L21" i="25"/>
  <c r="L2" i="1" s="1"/>
  <c r="L10" i="26"/>
  <c r="L3" i="1" s="1"/>
  <c r="L12" i="27"/>
  <c r="L4" i="1" s="1"/>
  <c r="L5" i="1"/>
  <c r="L26" i="35"/>
  <c r="L6" i="1" s="1"/>
  <c r="L21" i="29"/>
  <c r="L7" i="1" s="1"/>
  <c r="L20" i="31"/>
  <c r="L8" i="1" s="1"/>
  <c r="L9" i="1"/>
  <c r="L8" i="33"/>
  <c r="L12" i="1" s="1"/>
  <c r="L14" i="1"/>
  <c r="L27" i="9"/>
  <c r="M20" i="1"/>
  <c r="M21" i="27"/>
  <c r="M21" i="1" s="1"/>
  <c r="M22" i="1"/>
  <c r="M38" i="35"/>
  <c r="M23" i="1" s="1"/>
  <c r="M26" i="29"/>
  <c r="M24" i="1" s="1"/>
  <c r="M25" i="36"/>
  <c r="M26" i="1" s="1"/>
  <c r="M14" i="38"/>
  <c r="M27" i="1" s="1"/>
  <c r="M17" i="33"/>
  <c r="M29" i="1"/>
  <c r="M28" i="34"/>
  <c r="M30" i="1" s="1"/>
  <c r="M31" i="1"/>
  <c r="L32" i="1"/>
  <c r="M21" i="25"/>
  <c r="M2" i="1" s="1"/>
  <c r="M3" i="1"/>
  <c r="M12" i="27"/>
  <c r="M4" i="1" s="1"/>
  <c r="M26" i="35"/>
  <c r="M6" i="1" s="1"/>
  <c r="M21" i="29"/>
  <c r="M7" i="1" s="1"/>
  <c r="M20" i="31"/>
  <c r="M8" i="1" s="1"/>
  <c r="M18" i="36"/>
  <c r="M9" i="1" s="1"/>
  <c r="M8" i="33"/>
  <c r="M12" i="1" s="1"/>
  <c r="M19" i="34"/>
  <c r="M13" i="1" s="1"/>
  <c r="M14" i="1"/>
  <c r="L15" i="1"/>
  <c r="L41" i="9"/>
  <c r="M27" i="9"/>
  <c r="N21" i="25"/>
  <c r="N2" i="1"/>
  <c r="N3" i="1"/>
  <c r="P10" i="26"/>
  <c r="P3" i="1" s="1"/>
  <c r="R10" i="26"/>
  <c r="R3" i="1" s="1"/>
  <c r="T10" i="26"/>
  <c r="T3" i="1" s="1"/>
  <c r="N12" i="27"/>
  <c r="N4" i="1" s="1"/>
  <c r="V12" i="27"/>
  <c r="V4" i="1" s="1"/>
  <c r="N20" i="28"/>
  <c r="N5" i="1" s="1"/>
  <c r="P20" i="28"/>
  <c r="P5" i="1" s="1"/>
  <c r="R20" i="28"/>
  <c r="R5" i="1" s="1"/>
  <c r="S5" i="1"/>
  <c r="T20" i="28"/>
  <c r="T5" i="1" s="1"/>
  <c r="N20" i="31"/>
  <c r="N8" i="1" s="1"/>
  <c r="N8" i="33"/>
  <c r="N12" i="1" s="1"/>
  <c r="N20" i="1"/>
  <c r="N27" i="28"/>
  <c r="N22" i="1" s="1"/>
  <c r="N26" i="1"/>
  <c r="P26" i="35"/>
  <c r="P6" i="1" s="1"/>
  <c r="M41" i="9"/>
  <c r="N14" i="38"/>
  <c r="N27" i="1" s="1"/>
  <c r="N14" i="1"/>
  <c r="N18" i="36"/>
  <c r="N9" i="1" s="1"/>
  <c r="R38" i="35"/>
  <c r="R23" i="1" s="1"/>
  <c r="Q38" i="35"/>
  <c r="Q23" i="1" s="1"/>
  <c r="P38" i="35"/>
  <c r="P23" i="1" s="1"/>
  <c r="O38" i="35"/>
  <c r="O23" i="1" s="1"/>
  <c r="N38" i="35"/>
  <c r="N23" i="1" s="1"/>
  <c r="N26" i="35"/>
  <c r="N6" i="1" s="1"/>
  <c r="N21" i="29"/>
  <c r="N7" i="1" s="1"/>
  <c r="N19" i="34"/>
  <c r="N13" i="1" s="1"/>
  <c r="M15" i="1"/>
  <c r="N41" i="9"/>
  <c r="N27" i="9"/>
  <c r="N21" i="27"/>
  <c r="N21" i="1" s="1"/>
  <c r="N26" i="29"/>
  <c r="N24" i="1" s="1"/>
  <c r="N28" i="34"/>
  <c r="N30" i="1" s="1"/>
  <c r="M32" i="1"/>
  <c r="N17" i="33"/>
  <c r="N29" i="1"/>
  <c r="W23" i="1"/>
  <c r="V23" i="1"/>
  <c r="U23" i="1"/>
  <c r="T23" i="1"/>
  <c r="S23" i="1"/>
  <c r="Q14" i="38"/>
  <c r="Q27" i="1" s="1"/>
  <c r="S14" i="38"/>
  <c r="R14" i="38"/>
  <c r="R27" i="1" s="1"/>
  <c r="P14" i="38"/>
  <c r="P27" i="1" s="1"/>
  <c r="O14" i="38"/>
  <c r="O27" i="1"/>
  <c r="N15" i="1"/>
  <c r="O14" i="1"/>
  <c r="O21" i="25"/>
  <c r="O2" i="1" s="1"/>
  <c r="O10" i="26"/>
  <c r="O3" i="1" s="1"/>
  <c r="O12" i="27"/>
  <c r="O4" i="1" s="1"/>
  <c r="O20" i="28"/>
  <c r="O5" i="1" s="1"/>
  <c r="O26" i="35"/>
  <c r="O6" i="1" s="1"/>
  <c r="O21" i="29"/>
  <c r="O7" i="1" s="1"/>
  <c r="O20" i="31"/>
  <c r="O8" i="1" s="1"/>
  <c r="O18" i="36"/>
  <c r="O9" i="1" s="1"/>
  <c r="O8" i="33"/>
  <c r="O12" i="1" s="1"/>
  <c r="O19" i="34"/>
  <c r="O13" i="1" s="1"/>
  <c r="O27" i="9"/>
  <c r="O28" i="34"/>
  <c r="O30" i="1" s="1"/>
  <c r="O21" i="27"/>
  <c r="O21" i="1" s="1"/>
  <c r="O26" i="29"/>
  <c r="O24" i="1" s="1"/>
  <c r="O17" i="33"/>
  <c r="O29" i="1" s="1"/>
  <c r="N32" i="1"/>
  <c r="O27" i="28"/>
  <c r="O22" i="1" s="1"/>
  <c r="O20" i="26"/>
  <c r="O20" i="1" s="1"/>
  <c r="O41" i="9"/>
  <c r="O25" i="36"/>
  <c r="O26" i="1" s="1"/>
  <c r="P17" i="33"/>
  <c r="P29" i="1" s="1"/>
  <c r="P8" i="33"/>
  <c r="P12" i="1" s="1"/>
  <c r="P15" i="32"/>
  <c r="P8" i="32"/>
  <c r="P14" i="1" s="1"/>
  <c r="T22" i="1"/>
  <c r="S26" i="1"/>
  <c r="S22" i="1"/>
  <c r="R26" i="1"/>
  <c r="R22" i="1"/>
  <c r="Q26" i="1"/>
  <c r="Q22" i="1"/>
  <c r="P20" i="31"/>
  <c r="P8" i="1" s="1"/>
  <c r="P27" i="9"/>
  <c r="P28" i="34"/>
  <c r="P30" i="1" s="1"/>
  <c r="P19" i="34"/>
  <c r="P13" i="1" s="1"/>
  <c r="P25" i="36"/>
  <c r="P26" i="1" s="1"/>
  <c r="P18" i="36"/>
  <c r="P9" i="1"/>
  <c r="P26" i="29"/>
  <c r="P24" i="1" s="1"/>
  <c r="P21" i="29"/>
  <c r="P7" i="1" s="1"/>
  <c r="P21" i="27"/>
  <c r="P21" i="1" s="1"/>
  <c r="P12" i="27"/>
  <c r="P4" i="1" s="1"/>
  <c r="P27" i="28"/>
  <c r="P22" i="1" s="1"/>
  <c r="O32" i="1"/>
  <c r="O15" i="1"/>
  <c r="P20" i="26"/>
  <c r="P20" i="1" s="1"/>
  <c r="P21" i="25"/>
  <c r="P2" i="1" s="1"/>
  <c r="Q41" i="9"/>
  <c r="R41" i="9"/>
  <c r="S41" i="9"/>
  <c r="T41" i="9"/>
  <c r="U41" i="9"/>
  <c r="V41" i="9"/>
  <c r="W41" i="9"/>
  <c r="P41" i="9"/>
  <c r="Q27" i="9"/>
  <c r="P32" i="1"/>
  <c r="P15" i="1"/>
  <c r="Q15" i="32"/>
  <c r="Q31" i="1"/>
  <c r="Q8" i="32"/>
  <c r="Q14" i="1" s="1"/>
  <c r="Q17" i="33"/>
  <c r="Q29" i="1" s="1"/>
  <c r="Q8" i="33"/>
  <c r="Q12" i="1" s="1"/>
  <c r="Q21" i="25"/>
  <c r="Q2" i="1" s="1"/>
  <c r="Q10" i="26"/>
  <c r="Q3" i="1" s="1"/>
  <c r="Q12" i="27"/>
  <c r="Q4" i="1" s="1"/>
  <c r="Q20" i="28"/>
  <c r="Q5" i="1"/>
  <c r="Q26" i="35"/>
  <c r="Q6" i="1" s="1"/>
  <c r="Q21" i="29"/>
  <c r="Q7" i="1" s="1"/>
  <c r="Q20" i="31"/>
  <c r="Q8" i="1" s="1"/>
  <c r="Q18" i="36"/>
  <c r="Q9" i="1" s="1"/>
  <c r="Q19" i="34"/>
  <c r="Q13" i="1" s="1"/>
  <c r="Q21" i="27"/>
  <c r="Q21" i="1" s="1"/>
  <c r="Q20" i="26"/>
  <c r="Q20" i="1" s="1"/>
  <c r="Q26" i="29"/>
  <c r="Q24" i="1" s="1"/>
  <c r="Q28" i="34"/>
  <c r="Q30" i="1" s="1"/>
  <c r="R20" i="31"/>
  <c r="R8" i="1"/>
  <c r="R27" i="9"/>
  <c r="R21" i="29"/>
  <c r="R7" i="1" s="1"/>
  <c r="R26" i="29"/>
  <c r="R24" i="1" s="1"/>
  <c r="S26" i="29"/>
  <c r="S24" i="1" s="1"/>
  <c r="R18" i="36"/>
  <c r="R9" i="1" s="1"/>
  <c r="R26" i="35"/>
  <c r="R6" i="1" s="1"/>
  <c r="R21" i="25"/>
  <c r="R2" i="1" s="1"/>
  <c r="R21" i="27"/>
  <c r="R21" i="1" s="1"/>
  <c r="R12" i="27"/>
  <c r="R4" i="1" s="1"/>
  <c r="R20" i="26"/>
  <c r="R20" i="1" s="1"/>
  <c r="R17" i="33"/>
  <c r="R29" i="1" s="1"/>
  <c r="R8" i="33"/>
  <c r="R12" i="1" s="1"/>
  <c r="R28" i="34"/>
  <c r="R30" i="1" s="1"/>
  <c r="R19" i="34"/>
  <c r="R13" i="1" s="1"/>
  <c r="R15" i="32"/>
  <c r="R31" i="1"/>
  <c r="R8" i="32"/>
  <c r="R14" i="1" s="1"/>
  <c r="Q32" i="1"/>
  <c r="Q15" i="1"/>
  <c r="S21" i="29"/>
  <c r="S7" i="1" s="1"/>
  <c r="S17" i="33"/>
  <c r="S29" i="1" s="1"/>
  <c r="S8" i="33"/>
  <c r="S12" i="1" s="1"/>
  <c r="S27" i="9"/>
  <c r="S26" i="35"/>
  <c r="S6" i="1" s="1"/>
  <c r="S15" i="32"/>
  <c r="S31" i="1" s="1"/>
  <c r="S8" i="32"/>
  <c r="S14" i="1" s="1"/>
  <c r="S21" i="27"/>
  <c r="S21" i="1" s="1"/>
  <c r="S12" i="27"/>
  <c r="S4" i="1" s="1"/>
  <c r="S20" i="31"/>
  <c r="S8" i="1" s="1"/>
  <c r="S28" i="34"/>
  <c r="S30" i="1" s="1"/>
  <c r="S19" i="34"/>
  <c r="S13" i="1" s="1"/>
  <c r="R32" i="1"/>
  <c r="R15" i="1"/>
  <c r="S20" i="26"/>
  <c r="S20" i="1" s="1"/>
  <c r="S10" i="26"/>
  <c r="S3" i="1" s="1"/>
  <c r="S21" i="25"/>
  <c r="S2" i="1" s="1"/>
  <c r="S18" i="36"/>
  <c r="S9" i="1" s="1"/>
  <c r="T17" i="34"/>
  <c r="U19" i="34"/>
  <c r="U13" i="1" s="1"/>
  <c r="V19" i="34"/>
  <c r="V13" i="1" s="1"/>
  <c r="W19" i="34"/>
  <c r="W13" i="1" s="1"/>
  <c r="W20" i="31"/>
  <c r="W8" i="1" s="1"/>
  <c r="T8" i="33"/>
  <c r="T12" i="1" s="1"/>
  <c r="T15" i="1"/>
  <c r="T27" i="9"/>
  <c r="T26" i="35"/>
  <c r="T6" i="1" s="1"/>
  <c r="T20" i="26"/>
  <c r="T20" i="1" s="1"/>
  <c r="T17" i="33"/>
  <c r="T29" i="1" s="1"/>
  <c r="T28" i="34"/>
  <c r="T30" i="1" s="1"/>
  <c r="T21" i="25"/>
  <c r="T2" i="1" s="1"/>
  <c r="S32" i="1"/>
  <c r="S15" i="1"/>
  <c r="T21" i="29"/>
  <c r="T7" i="1" s="1"/>
  <c r="T26" i="29"/>
  <c r="T24" i="1" s="1"/>
  <c r="W21" i="27"/>
  <c r="W21" i="1" s="1"/>
  <c r="V21" i="27"/>
  <c r="V21" i="1" s="1"/>
  <c r="U21" i="27"/>
  <c r="U21" i="1" s="1"/>
  <c r="T21" i="27"/>
  <c r="T21" i="1" s="1"/>
  <c r="T12" i="27"/>
  <c r="T4" i="1" s="1"/>
  <c r="T20" i="31"/>
  <c r="T8" i="1" s="1"/>
  <c r="T25" i="36"/>
  <c r="T26" i="1" s="1"/>
  <c r="T18" i="36"/>
  <c r="T9" i="1" s="1"/>
  <c r="T15" i="32"/>
  <c r="T31" i="1" s="1"/>
  <c r="T8" i="32"/>
  <c r="T14" i="1" s="1"/>
  <c r="W25" i="36"/>
  <c r="W26" i="1" s="1"/>
  <c r="V25" i="36"/>
  <c r="V26" i="1" s="1"/>
  <c r="U25" i="36"/>
  <c r="U26" i="1" s="1"/>
  <c r="W18" i="36"/>
  <c r="W9" i="1" s="1"/>
  <c r="V18" i="36"/>
  <c r="V9" i="1" s="1"/>
  <c r="U18" i="36"/>
  <c r="U9" i="1" s="1"/>
  <c r="W28" i="34"/>
  <c r="W30" i="1" s="1"/>
  <c r="V28" i="34"/>
  <c r="V30" i="1"/>
  <c r="U28" i="34"/>
  <c r="U30" i="1" s="1"/>
  <c r="W17" i="33"/>
  <c r="W29" i="1" s="1"/>
  <c r="V17" i="33"/>
  <c r="V29" i="1" s="1"/>
  <c r="U17" i="33"/>
  <c r="U29" i="1" s="1"/>
  <c r="W8" i="33"/>
  <c r="W12" i="1" s="1"/>
  <c r="V8" i="33"/>
  <c r="V12" i="1" s="1"/>
  <c r="U8" i="33"/>
  <c r="U12" i="1" s="1"/>
  <c r="W15" i="32"/>
  <c r="W31" i="1" s="1"/>
  <c r="V15" i="32"/>
  <c r="V31" i="1" s="1"/>
  <c r="U15" i="32"/>
  <c r="U31" i="1" s="1"/>
  <c r="W8" i="32"/>
  <c r="W14" i="1" s="1"/>
  <c r="V8" i="32"/>
  <c r="V14" i="1"/>
  <c r="U8" i="32"/>
  <c r="U14" i="1" s="1"/>
  <c r="V20" i="31"/>
  <c r="V8" i="1" s="1"/>
  <c r="U20" i="31"/>
  <c r="U8" i="1" s="1"/>
  <c r="W20" i="26"/>
  <c r="W20" i="1" s="1"/>
  <c r="V20" i="26"/>
  <c r="V20" i="1" s="1"/>
  <c r="U20" i="26"/>
  <c r="U20" i="1" s="1"/>
  <c r="W21" i="29"/>
  <c r="W7" i="1"/>
  <c r="V21" i="29"/>
  <c r="V7" i="1"/>
  <c r="V15" i="1"/>
  <c r="U15" i="1"/>
  <c r="T32" i="1"/>
  <c r="U32" i="1"/>
  <c r="W26" i="29"/>
  <c r="W24" i="1" s="1"/>
  <c r="V26" i="29"/>
  <c r="V24" i="1" s="1"/>
  <c r="U26" i="29"/>
  <c r="U24" i="1"/>
  <c r="W26" i="28"/>
  <c r="W24" i="28"/>
  <c r="U26" i="28"/>
  <c r="U24" i="28"/>
  <c r="V24" i="28"/>
  <c r="V27" i="28" s="1"/>
  <c r="V22" i="1" s="1"/>
  <c r="W20" i="28"/>
  <c r="W5" i="1" s="1"/>
  <c r="V20" i="28"/>
  <c r="V5" i="1" s="1"/>
  <c r="W12" i="27"/>
  <c r="W4" i="1" s="1"/>
  <c r="U12" i="27"/>
  <c r="U4" i="1" s="1"/>
  <c r="W10" i="26"/>
  <c r="W3" i="1" s="1"/>
  <c r="W21" i="25"/>
  <c r="W2" i="1" s="1"/>
  <c r="V10" i="26"/>
  <c r="V3" i="1" s="1"/>
  <c r="U10" i="26"/>
  <c r="U3" i="1" s="1"/>
  <c r="U21" i="25"/>
  <c r="U2" i="1" s="1"/>
  <c r="U20" i="28"/>
  <c r="U5" i="1" s="1"/>
  <c r="U21" i="29"/>
  <c r="U7" i="1" s="1"/>
  <c r="V21" i="25"/>
  <c r="V2" i="1" s="1"/>
  <c r="U27" i="9"/>
  <c r="V27" i="9"/>
  <c r="W27" i="9"/>
  <c r="V32" i="1"/>
  <c r="P31" i="1"/>
  <c r="N31" i="1"/>
  <c r="O31" i="1"/>
  <c r="J24" i="1"/>
  <c r="J14" i="1"/>
  <c r="I31" i="1"/>
  <c r="I30" i="1"/>
  <c r="J21" i="1"/>
  <c r="J4" i="1"/>
  <c r="I20" i="1"/>
  <c r="I2" i="1"/>
  <c r="I27" i="9"/>
  <c r="H15" i="1"/>
  <c r="I23" i="1"/>
  <c r="P32" i="2" l="1"/>
  <c r="T44" i="2"/>
  <c r="M32" i="2"/>
  <c r="Q32" i="2"/>
  <c r="W27" i="28"/>
  <c r="W22" i="1" s="1"/>
  <c r="W33" i="1" s="1"/>
  <c r="I32" i="2"/>
  <c r="G47" i="1"/>
  <c r="N33" i="1"/>
  <c r="S16" i="1"/>
  <c r="Q33" i="1"/>
  <c r="P33" i="1"/>
  <c r="Q16" i="1"/>
  <c r="O32" i="2"/>
  <c r="R33" i="1"/>
  <c r="M44" i="2"/>
  <c r="L33" i="1"/>
  <c r="U44" i="2"/>
  <c r="P44" i="2"/>
  <c r="O16" i="1"/>
  <c r="T19" i="34"/>
  <c r="T13" i="1" s="1"/>
  <c r="T16" i="1" s="1"/>
  <c r="V16" i="1"/>
  <c r="O33" i="1"/>
  <c r="N44" i="2"/>
  <c r="Q44" i="2"/>
  <c r="K19" i="34"/>
  <c r="K13" i="1" s="1"/>
  <c r="G32" i="1"/>
  <c r="G33" i="1" s="1"/>
  <c r="H9" i="1"/>
  <c r="H8" i="1"/>
  <c r="H23" i="1"/>
  <c r="H12" i="1"/>
  <c r="I44" i="2"/>
  <c r="H7" i="1"/>
  <c r="J44" i="2"/>
  <c r="J32" i="2"/>
  <c r="U16" i="1"/>
  <c r="W16" i="1"/>
  <c r="V33" i="1"/>
  <c r="R16" i="1"/>
  <c r="S33" i="1"/>
  <c r="P16" i="1"/>
  <c r="T32" i="2"/>
  <c r="M33" i="1"/>
  <c r="H19" i="34"/>
  <c r="I13" i="1"/>
  <c r="U32" i="2"/>
  <c r="L32" i="2"/>
  <c r="L19" i="34"/>
  <c r="L13" i="1" s="1"/>
  <c r="L16" i="1" s="1"/>
  <c r="K44" i="2"/>
  <c r="I7" i="1"/>
  <c r="H2" i="1"/>
  <c r="H20" i="1"/>
  <c r="H32" i="2"/>
  <c r="I12" i="1"/>
  <c r="J20" i="31"/>
  <c r="J8" i="1" s="1"/>
  <c r="J16" i="1" s="1"/>
  <c r="H32" i="1"/>
  <c r="U27" i="28"/>
  <c r="U22" i="1" s="1"/>
  <c r="U33" i="1" s="1"/>
  <c r="N32" i="2"/>
  <c r="H5" i="1"/>
  <c r="K21" i="25"/>
  <c r="K2" i="1" s="1"/>
  <c r="K16" i="1" s="1"/>
  <c r="R32" i="2"/>
  <c r="N16" i="1"/>
  <c r="H44" i="2"/>
  <c r="S32" i="2"/>
  <c r="I21" i="1"/>
  <c r="T33" i="1"/>
  <c r="M16" i="1"/>
  <c r="J33" i="1"/>
  <c r="S44" i="2"/>
  <c r="R44" i="2"/>
  <c r="O44" i="2"/>
  <c r="L44" i="2"/>
  <c r="K33" i="1"/>
  <c r="H29" i="1"/>
  <c r="G46" i="1" l="1"/>
  <c r="I16" i="1"/>
  <c r="K32" i="2"/>
  <c r="H13" i="1"/>
  <c r="I33" i="1"/>
  <c r="H33" i="1"/>
  <c r="H16" i="1" l="1"/>
</calcChain>
</file>

<file path=xl/sharedStrings.xml><?xml version="1.0" encoding="utf-8"?>
<sst xmlns="http://schemas.openxmlformats.org/spreadsheetml/2006/main" count="528" uniqueCount="181">
  <si>
    <t>Belgium</t>
  </si>
  <si>
    <t>The Netherlands</t>
  </si>
  <si>
    <t>Elstar</t>
  </si>
  <si>
    <t>Golden Delicious</t>
  </si>
  <si>
    <t>Boskoop</t>
  </si>
  <si>
    <t>Cox Orange</t>
  </si>
  <si>
    <t>Other</t>
  </si>
  <si>
    <t>Conference</t>
  </si>
  <si>
    <t>Austria (Steiermark)</t>
  </si>
  <si>
    <t>Gala</t>
  </si>
  <si>
    <t>Idared</t>
  </si>
  <si>
    <t>Braeburn</t>
  </si>
  <si>
    <t>Fuji</t>
  </si>
  <si>
    <t>Pinova</t>
  </si>
  <si>
    <t>Gloster</t>
  </si>
  <si>
    <t>Holsteiner Cox</t>
  </si>
  <si>
    <t>Italy</t>
  </si>
  <si>
    <t>Granny Smith</t>
  </si>
  <si>
    <t>Morgendurf/imperat</t>
  </si>
  <si>
    <t>Red Delicious</t>
  </si>
  <si>
    <t>Annurca</t>
  </si>
  <si>
    <t>Stayman</t>
  </si>
  <si>
    <t>TOTAL</t>
  </si>
  <si>
    <t>Apple Stocks (Ton)</t>
  </si>
  <si>
    <t>Pear Stocks (Ton)</t>
  </si>
  <si>
    <t>Jonagored</t>
  </si>
  <si>
    <t>Jonagold</t>
  </si>
  <si>
    <t>Germany</t>
  </si>
  <si>
    <t>Cameo</t>
  </si>
  <si>
    <t>Kaiser</t>
  </si>
  <si>
    <t>Czech Republic</t>
  </si>
  <si>
    <t>Poland</t>
  </si>
  <si>
    <t>Cortland</t>
  </si>
  <si>
    <t>Lobo</t>
  </si>
  <si>
    <t>Spartan</t>
  </si>
  <si>
    <t>Bramley</t>
  </si>
  <si>
    <t>Spain (Catalonia)</t>
  </si>
  <si>
    <t>Alexandrina</t>
  </si>
  <si>
    <t>Blanquilla</t>
  </si>
  <si>
    <t>Denmark</t>
  </si>
  <si>
    <t>Anjou</t>
  </si>
  <si>
    <t>Bosc</t>
  </si>
  <si>
    <t>Red Anjou</t>
  </si>
  <si>
    <t>Comice</t>
  </si>
  <si>
    <t>Seckel</t>
  </si>
  <si>
    <t>Other Reds</t>
  </si>
  <si>
    <t>Northwest Bartletts (Williams)</t>
  </si>
  <si>
    <t>Empire</t>
  </si>
  <si>
    <t>Jonathan</t>
  </si>
  <si>
    <t>McIntosh</t>
  </si>
  <si>
    <t>Mutsu/Crispin</t>
  </si>
  <si>
    <t>Newtown Pippin</t>
  </si>
  <si>
    <t>Northern Spy</t>
  </si>
  <si>
    <t>Rome</t>
  </si>
  <si>
    <t>Rome Sport</t>
  </si>
  <si>
    <t>Winesap</t>
  </si>
  <si>
    <t>York</t>
  </si>
  <si>
    <t>Others</t>
  </si>
  <si>
    <t>Switzerland</t>
  </si>
  <si>
    <t>Cripps Pink</t>
  </si>
  <si>
    <t>Content:</t>
  </si>
  <si>
    <t>US situation</t>
  </si>
  <si>
    <t>European situation per country</t>
  </si>
  <si>
    <t xml:space="preserve">Sources: </t>
  </si>
  <si>
    <t>US:</t>
  </si>
  <si>
    <t>Washington Apple Commission, Pear Bureau Northwest</t>
  </si>
  <si>
    <t>Austria:</t>
  </si>
  <si>
    <t>Landeskammer für Land- und Forstwirtschaft Steiermark</t>
  </si>
  <si>
    <t>Belgium:</t>
  </si>
  <si>
    <t>VBT</t>
  </si>
  <si>
    <t>Czech Republic:</t>
  </si>
  <si>
    <t>SAPA</t>
  </si>
  <si>
    <t>France:</t>
  </si>
  <si>
    <t>Germany:</t>
  </si>
  <si>
    <t>Italy:</t>
  </si>
  <si>
    <t>ASSOMELA, CSO</t>
  </si>
  <si>
    <t>Poland:</t>
  </si>
  <si>
    <t>Switzerland:</t>
  </si>
  <si>
    <t>Spain:</t>
  </si>
  <si>
    <t>The Netherlands:</t>
  </si>
  <si>
    <t>United Kingdom:</t>
  </si>
  <si>
    <t>English Apples &amp; Pears</t>
  </si>
  <si>
    <t>Productschap Tuinbouw</t>
  </si>
  <si>
    <t>SWISSCOFEL</t>
  </si>
  <si>
    <t>SOCIETY FOR PROMOTION OF DWARF FRUIT ORCHARDS</t>
  </si>
  <si>
    <t>Central Institute for Supervising and Testing in Agriculture, Division of perennial plants</t>
  </si>
  <si>
    <t>Other new varieties³</t>
  </si>
  <si>
    <t>Reinette Grise du Canada</t>
  </si>
  <si>
    <t>Shampion</t>
  </si>
  <si>
    <t>European situation per variety</t>
  </si>
  <si>
    <t>Variety (Ton)</t>
  </si>
  <si>
    <t>Total</t>
  </si>
  <si>
    <t>Doyenne du comice</t>
  </si>
  <si>
    <t>Arlet</t>
  </si>
  <si>
    <t>Kronprinz Rudolf</t>
  </si>
  <si>
    <t>Topaz</t>
  </si>
  <si>
    <t>Bellida</t>
  </si>
  <si>
    <t>Pigoen</t>
  </si>
  <si>
    <t>Ingrid Marie</t>
  </si>
  <si>
    <t>Doyenne</t>
  </si>
  <si>
    <t>Gloster*</t>
  </si>
  <si>
    <t>* From 2007 Gloster is included in others</t>
  </si>
  <si>
    <t>Abate Fetel</t>
  </si>
  <si>
    <t>Decana del C.</t>
  </si>
  <si>
    <t>Morgenduft</t>
  </si>
  <si>
    <t>Renette</t>
  </si>
  <si>
    <t>Jonagold (incl. Jonagored)</t>
  </si>
  <si>
    <t>Fuji Group</t>
  </si>
  <si>
    <t>Gala Group</t>
  </si>
  <si>
    <t>Golden Group</t>
  </si>
  <si>
    <t>Llimonera</t>
  </si>
  <si>
    <t>Glockenapfel</t>
  </si>
  <si>
    <t>Kanada Reinette</t>
  </si>
  <si>
    <t>Maigold</t>
  </si>
  <si>
    <t>Rubinette</t>
  </si>
  <si>
    <t>Boscs Flaschenbirne</t>
  </si>
  <si>
    <t>Gute Luise</t>
  </si>
  <si>
    <t>European countries by variety</t>
  </si>
  <si>
    <t>Reine de renettes</t>
  </si>
  <si>
    <t>Ariane</t>
  </si>
  <si>
    <t>Pear Stocks  (Ton)</t>
  </si>
  <si>
    <t>Reinette</t>
  </si>
  <si>
    <t>Other new varieties*</t>
  </si>
  <si>
    <t>Tentation</t>
  </si>
  <si>
    <t>Belchard/Chantecler</t>
  </si>
  <si>
    <t>Rouges</t>
  </si>
  <si>
    <t>Jazz</t>
  </si>
  <si>
    <t>Honey Crunch</t>
  </si>
  <si>
    <t>Sundowner</t>
  </si>
  <si>
    <t>AMI</t>
  </si>
  <si>
    <t>ANPP</t>
  </si>
  <si>
    <t>France</t>
  </si>
  <si>
    <t>Red Jonaprince</t>
  </si>
  <si>
    <t>Other new varieties</t>
  </si>
  <si>
    <t>Denmark:</t>
  </si>
  <si>
    <t>Goldrush</t>
  </si>
  <si>
    <t>Angelys</t>
  </si>
  <si>
    <t>Beurré Hardy</t>
  </si>
  <si>
    <t>Guyot</t>
  </si>
  <si>
    <t>Passe Crassane</t>
  </si>
  <si>
    <t>Williams</t>
  </si>
  <si>
    <t>Club varieties</t>
  </si>
  <si>
    <t>MAY</t>
  </si>
  <si>
    <t>Portugal:</t>
  </si>
  <si>
    <t>ANP - Associação Nacional de Produtores de Pera Rocha</t>
  </si>
  <si>
    <t>Golden Delicius</t>
  </si>
  <si>
    <t>Portugal</t>
  </si>
  <si>
    <t>Rocha</t>
  </si>
  <si>
    <t xml:space="preserve">* Other new varieties: Ariane, Belgica, Cameo, Diwa, Greenstar, Goldrush, Honey Crunch, Jazz, Junami, Kanzi, Mairac, Rubens, Tentation (temptation), Wellant, ... </t>
  </si>
  <si>
    <t>Choupette</t>
  </si>
  <si>
    <t>Concorde</t>
  </si>
  <si>
    <t>Evelina</t>
  </si>
  <si>
    <t>Ligol</t>
  </si>
  <si>
    <t>AFRUCAT</t>
  </si>
  <si>
    <t>Doyenne du Comice</t>
  </si>
  <si>
    <t>Bohemica</t>
  </si>
  <si>
    <t>Lucasova</t>
  </si>
  <si>
    <t>** From 12/2014 Cox's is included in others</t>
  </si>
  <si>
    <t>Cox**</t>
  </si>
  <si>
    <t>* Portugal: Rocha stocks are compared per two months, in this case to stocks of 1 March</t>
  </si>
  <si>
    <t>Durondeau</t>
  </si>
  <si>
    <t>** As of the 2016/ 2017 season, the UK works with a different methodology, which is why the figures are not comparable.</t>
  </si>
  <si>
    <t>United Kingdom**</t>
  </si>
  <si>
    <t>Forelle</t>
  </si>
  <si>
    <t>Cosmic Crisp</t>
  </si>
  <si>
    <t>Slovakia</t>
  </si>
  <si>
    <t>* Portugal: Rocha stocks are compared per two months, in this case to stocks of 1 January</t>
  </si>
  <si>
    <t>*** Starting from the 2022-2023 season, Italian pears work with a different methodology, which is why the figures are not comparable with previous years.</t>
  </si>
  <si>
    <t>Moved 2024</t>
  </si>
  <si>
    <t>United Kingdom</t>
  </si>
  <si>
    <t>%YOY</t>
  </si>
  <si>
    <t>Moved 2025</t>
  </si>
  <si>
    <t>Honey crisp</t>
  </si>
  <si>
    <t>Other Winter Varities</t>
  </si>
  <si>
    <t>Rubinett</t>
  </si>
  <si>
    <t>Beurre Alexander Lucas**</t>
  </si>
  <si>
    <t>Please note that this is just an indication. There might be a difference of  +- 10%</t>
  </si>
  <si>
    <t>A significant part of apples are sold to the industry</t>
  </si>
  <si>
    <t>* Rocha stocks are compared per two months, in this case to stocks of 1 January</t>
  </si>
  <si>
    <t>* As of 2017, the UK works with a different methodology, which is why the figures are not comparable.</t>
  </si>
  <si>
    <t>Overview Northern Hemisphere apple and pear stocks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</si>
</sst>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2" fillId="4" borderId="0" applyNumberFormat="0" applyBorder="0" applyAlignment="0" applyProtection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</cellStyleXfs>
  <cellXfs count="171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3" fontId="0" fillId="0" borderId="1" xfId="0" applyNumberFormat="1" applyBorder="1"/>
    <xf numFmtId="3" fontId="0" fillId="0" borderId="0" xfId="0" applyNumberFormat="1" applyAlignment="1">
      <alignment horizontal="center"/>
    </xf>
    <xf numFmtId="0" fontId="1" fillId="0" borderId="0" xfId="0" applyFont="1" applyAlignment="1">
      <alignment vertic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 applyAlignment="1">
      <alignment horizontal="center" vertical="center"/>
    </xf>
    <xf numFmtId="0" fontId="0" fillId="0" borderId="0" xfId="0" quotePrefix="1"/>
    <xf numFmtId="0" fontId="7" fillId="0" borderId="0" xfId="0" applyFont="1"/>
    <xf numFmtId="0" fontId="0" fillId="2" borderId="2" xfId="0" applyFill="1" applyBorder="1"/>
    <xf numFmtId="0" fontId="0" fillId="2" borderId="2" xfId="0" quotePrefix="1" applyFill="1" applyBorder="1"/>
    <xf numFmtId="0" fontId="0" fillId="2" borderId="3" xfId="0" quotePrefix="1" applyFill="1" applyBorder="1"/>
    <xf numFmtId="0" fontId="1" fillId="2" borderId="4" xfId="0" applyFont="1" applyFill="1" applyBorder="1"/>
    <xf numFmtId="14" fontId="1" fillId="0" borderId="5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164" fontId="0" fillId="3" borderId="0" xfId="0" applyNumberFormat="1" applyFill="1"/>
    <xf numFmtId="164" fontId="0" fillId="3" borderId="1" xfId="0" applyNumberFormat="1" applyFill="1" applyBorder="1"/>
    <xf numFmtId="3" fontId="0" fillId="0" borderId="7" xfId="0" applyNumberFormat="1" applyBorder="1"/>
    <xf numFmtId="0" fontId="0" fillId="2" borderId="3" xfId="0" applyFill="1" applyBorder="1"/>
    <xf numFmtId="3" fontId="0" fillId="0" borderId="8" xfId="0" applyNumberFormat="1" applyBorder="1"/>
    <xf numFmtId="0" fontId="1" fillId="2" borderId="3" xfId="0" applyFont="1" applyFill="1" applyBorder="1"/>
    <xf numFmtId="164" fontId="1" fillId="3" borderId="1" xfId="0" applyNumberFormat="1" applyFont="1" applyFill="1" applyBorder="1"/>
    <xf numFmtId="3" fontId="1" fillId="0" borderId="1" xfId="0" applyNumberFormat="1" applyFont="1" applyBorder="1"/>
    <xf numFmtId="3" fontId="1" fillId="0" borderId="8" xfId="0" applyNumberFormat="1" applyFont="1" applyBorder="1"/>
    <xf numFmtId="164" fontId="0" fillId="0" borderId="0" xfId="0" applyNumberFormat="1"/>
    <xf numFmtId="3" fontId="3" fillId="0" borderId="1" xfId="0" applyNumberFormat="1" applyFont="1" applyBorder="1"/>
    <xf numFmtId="3" fontId="3" fillId="0" borderId="0" xfId="0" applyNumberFormat="1" applyFont="1"/>
    <xf numFmtId="0" fontId="1" fillId="5" borderId="4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1" fillId="5" borderId="3" xfId="0" applyFont="1" applyFill="1" applyBorder="1"/>
    <xf numFmtId="3" fontId="3" fillId="6" borderId="0" xfId="0" applyNumberFormat="1" applyFont="1" applyFill="1"/>
    <xf numFmtId="3" fontId="3" fillId="6" borderId="1" xfId="0" applyNumberFormat="1" applyFont="1" applyFill="1" applyBorder="1"/>
    <xf numFmtId="3" fontId="1" fillId="6" borderId="5" xfId="0" applyNumberFormat="1" applyFont="1" applyFill="1" applyBorder="1"/>
    <xf numFmtId="3" fontId="1" fillId="0" borderId="5" xfId="0" applyNumberFormat="1" applyFont="1" applyBorder="1"/>
    <xf numFmtId="164" fontId="3" fillId="7" borderId="0" xfId="0" applyNumberFormat="1" applyFont="1" applyFill="1"/>
    <xf numFmtId="164" fontId="3" fillId="7" borderId="1" xfId="0" applyNumberFormat="1" applyFont="1" applyFill="1" applyBorder="1"/>
    <xf numFmtId="0" fontId="1" fillId="8" borderId="5" xfId="0" applyFont="1" applyFill="1" applyBorder="1"/>
    <xf numFmtId="0" fontId="3" fillId="0" borderId="0" xfId="2"/>
    <xf numFmtId="0" fontId="1" fillId="5" borderId="4" xfId="2" applyFont="1" applyFill="1" applyBorder="1"/>
    <xf numFmtId="0" fontId="3" fillId="5" borderId="2" xfId="2" applyFill="1" applyBorder="1"/>
    <xf numFmtId="164" fontId="3" fillId="7" borderId="0" xfId="2" applyNumberFormat="1" applyFill="1"/>
    <xf numFmtId="3" fontId="3" fillId="6" borderId="0" xfId="2" applyNumberFormat="1" applyFill="1"/>
    <xf numFmtId="3" fontId="3" fillId="0" borderId="0" xfId="2" applyNumberFormat="1"/>
    <xf numFmtId="0" fontId="3" fillId="5" borderId="3" xfId="2" applyFill="1" applyBorder="1"/>
    <xf numFmtId="164" fontId="3" fillId="7" borderId="1" xfId="2" applyNumberFormat="1" applyFill="1" applyBorder="1"/>
    <xf numFmtId="3" fontId="3" fillId="6" borderId="1" xfId="2" applyNumberFormat="1" applyFill="1" applyBorder="1"/>
    <xf numFmtId="3" fontId="3" fillId="0" borderId="1" xfId="2" applyNumberFormat="1" applyBorder="1"/>
    <xf numFmtId="0" fontId="1" fillId="5" borderId="3" xfId="2" applyFont="1" applyFill="1" applyBorder="1"/>
    <xf numFmtId="164" fontId="1" fillId="7" borderId="5" xfId="2" applyNumberFormat="1" applyFont="1" applyFill="1" applyBorder="1"/>
    <xf numFmtId="3" fontId="1" fillId="6" borderId="5" xfId="2" applyNumberFormat="1" applyFont="1" applyFill="1" applyBorder="1"/>
    <xf numFmtId="3" fontId="3" fillId="0" borderId="5" xfId="2" applyNumberForma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3" fontId="3" fillId="0" borderId="7" xfId="2" applyNumberFormat="1" applyBorder="1"/>
    <xf numFmtId="3" fontId="3" fillId="0" borderId="8" xfId="2" applyNumberFormat="1" applyBorder="1"/>
    <xf numFmtId="3" fontId="3" fillId="0" borderId="6" xfId="2" applyNumberFormat="1" applyBorder="1"/>
    <xf numFmtId="3" fontId="12" fillId="4" borderId="7" xfId="1" applyNumberFormat="1" applyBorder="1"/>
    <xf numFmtId="0" fontId="1" fillId="0" borderId="0" xfId="2" applyFont="1"/>
    <xf numFmtId="164" fontId="1" fillId="7" borderId="1" xfId="0" applyNumberFormat="1" applyFont="1" applyFill="1" applyBorder="1"/>
    <xf numFmtId="0" fontId="1" fillId="0" borderId="5" xfId="0" applyFont="1" applyBorder="1"/>
    <xf numFmtId="3" fontId="0" fillId="0" borderId="0" xfId="0" quotePrefix="1" applyNumberFormat="1"/>
    <xf numFmtId="3" fontId="0" fillId="0" borderId="1" xfId="0" quotePrefix="1" applyNumberFormat="1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1" fillId="0" borderId="5" xfId="2" applyNumberFormat="1" applyFont="1" applyBorder="1"/>
    <xf numFmtId="3" fontId="1" fillId="0" borderId="6" xfId="2" applyNumberFormat="1" applyFont="1" applyBorder="1"/>
    <xf numFmtId="3" fontId="0" fillId="0" borderId="0" xfId="0" applyNumberFormat="1" applyAlignment="1">
      <alignment horizontal="right"/>
    </xf>
    <xf numFmtId="3" fontId="0" fillId="0" borderId="1" xfId="0" applyNumberForma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164" fontId="1" fillId="7" borderId="1" xfId="2" applyNumberFormat="1" applyFont="1" applyFill="1" applyBorder="1"/>
    <xf numFmtId="164" fontId="3" fillId="7" borderId="5" xfId="2" applyNumberFormat="1" applyFill="1" applyBorder="1"/>
    <xf numFmtId="3" fontId="1" fillId="0" borderId="6" xfId="0" applyNumberFormat="1" applyFont="1" applyBorder="1"/>
    <xf numFmtId="0" fontId="3" fillId="5" borderId="9" xfId="2" applyFill="1" applyBorder="1"/>
    <xf numFmtId="164" fontId="3" fillId="7" borderId="10" xfId="2" applyNumberFormat="1" applyFill="1" applyBorder="1"/>
    <xf numFmtId="3" fontId="3" fillId="0" borderId="10" xfId="2" applyNumberFormat="1" applyBorder="1"/>
    <xf numFmtId="3" fontId="3" fillId="0" borderId="11" xfId="2" applyNumberFormat="1" applyBorder="1"/>
    <xf numFmtId="3" fontId="12" fillId="4" borderId="0" xfId="1" applyNumberFormat="1" applyBorder="1"/>
    <xf numFmtId="3" fontId="3" fillId="0" borderId="7" xfId="0" applyNumberFormat="1" applyFont="1" applyBorder="1" applyAlignment="1">
      <alignment horizontal="right"/>
    </xf>
    <xf numFmtId="3" fontId="1" fillId="6" borderId="1" xfId="0" applyNumberFormat="1" applyFont="1" applyFill="1" applyBorder="1"/>
    <xf numFmtId="3" fontId="1" fillId="0" borderId="1" xfId="2" applyNumberFormat="1" applyFont="1" applyBorder="1"/>
    <xf numFmtId="3" fontId="8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14" fontId="1" fillId="6" borderId="5" xfId="0" applyNumberFormat="1" applyFont="1" applyFill="1" applyBorder="1"/>
    <xf numFmtId="3" fontId="0" fillId="6" borderId="0" xfId="0" applyNumberFormat="1" applyFill="1"/>
    <xf numFmtId="3" fontId="0" fillId="6" borderId="1" xfId="0" applyNumberFormat="1" applyFill="1" applyBorder="1"/>
    <xf numFmtId="3" fontId="0" fillId="6" borderId="1" xfId="0" applyNumberFormat="1" applyFill="1" applyBorder="1" applyAlignment="1">
      <alignment horizontal="right"/>
    </xf>
    <xf numFmtId="3" fontId="1" fillId="6" borderId="1" xfId="0" applyNumberFormat="1" applyFont="1" applyFill="1" applyBorder="1" applyAlignment="1">
      <alignment horizontal="right"/>
    </xf>
    <xf numFmtId="3" fontId="0" fillId="0" borderId="1" xfId="0" quotePrefix="1" applyNumberFormat="1" applyBorder="1" applyAlignment="1">
      <alignment horizontal="right"/>
    </xf>
    <xf numFmtId="14" fontId="1" fillId="0" borderId="5" xfId="0" applyNumberFormat="1" applyFont="1" applyBorder="1"/>
    <xf numFmtId="3" fontId="3" fillId="6" borderId="10" xfId="2" applyNumberFormat="1" applyFill="1" applyBorder="1"/>
    <xf numFmtId="3" fontId="1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left"/>
    </xf>
    <xf numFmtId="3" fontId="0" fillId="8" borderId="0" xfId="0" applyNumberFormat="1" applyFill="1"/>
    <xf numFmtId="3" fontId="0" fillId="8" borderId="1" xfId="0" applyNumberFormat="1" applyFill="1" applyBorder="1"/>
    <xf numFmtId="3" fontId="3" fillId="8" borderId="0" xfId="0" applyNumberFormat="1" applyFont="1" applyFill="1"/>
    <xf numFmtId="3" fontId="3" fillId="8" borderId="1" xfId="0" applyNumberFormat="1" applyFont="1" applyFill="1" applyBorder="1"/>
    <xf numFmtId="3" fontId="0" fillId="8" borderId="0" xfId="0" applyNumberFormat="1" applyFill="1" applyAlignment="1">
      <alignment horizontal="right"/>
    </xf>
    <xf numFmtId="3" fontId="0" fillId="8" borderId="1" xfId="0" applyNumberFormat="1" applyFill="1" applyBorder="1" applyAlignment="1">
      <alignment horizontal="right"/>
    </xf>
    <xf numFmtId="164" fontId="1" fillId="3" borderId="5" xfId="0" applyNumberFormat="1" applyFont="1" applyFill="1" applyBorder="1"/>
    <xf numFmtId="3" fontId="1" fillId="8" borderId="5" xfId="0" applyNumberFormat="1" applyFont="1" applyFill="1" applyBorder="1"/>
    <xf numFmtId="164" fontId="3" fillId="0" borderId="0" xfId="2" applyNumberFormat="1"/>
    <xf numFmtId="14" fontId="1" fillId="0" borderId="5" xfId="2" applyNumberFormat="1" applyFont="1" applyBorder="1"/>
    <xf numFmtId="3" fontId="0" fillId="6" borderId="0" xfId="0" applyNumberFormat="1" applyFill="1" applyAlignment="1">
      <alignment horizontal="right"/>
    </xf>
    <xf numFmtId="0" fontId="1" fillId="0" borderId="0" xfId="0" applyFont="1" applyAlignment="1">
      <alignment horizontal="left" vertical="center" wrapText="1"/>
    </xf>
    <xf numFmtId="0" fontId="13" fillId="0" borderId="0" xfId="0" applyFont="1"/>
    <xf numFmtId="14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left" vertical="center" wrapText="1"/>
    </xf>
    <xf numFmtId="14" fontId="1" fillId="0" borderId="0" xfId="0" applyNumberFormat="1" applyFont="1"/>
    <xf numFmtId="0" fontId="3" fillId="2" borderId="2" xfId="0" applyFont="1" applyFill="1" applyBorder="1"/>
    <xf numFmtId="0" fontId="1" fillId="3" borderId="5" xfId="0" applyFont="1" applyFill="1" applyBorder="1"/>
    <xf numFmtId="164" fontId="3" fillId="7" borderId="0" xfId="0" applyNumberFormat="1" applyFont="1" applyFill="1" applyAlignment="1">
      <alignment horizontal="right"/>
    </xf>
    <xf numFmtId="3" fontId="3" fillId="8" borderId="0" xfId="0" applyNumberFormat="1" applyFont="1" applyFill="1" applyAlignment="1">
      <alignment horizontal="right"/>
    </xf>
    <xf numFmtId="0" fontId="0" fillId="5" borderId="2" xfId="0" applyFill="1" applyBorder="1"/>
    <xf numFmtId="2" fontId="0" fillId="0" borderId="0" xfId="0" applyNumberFormat="1"/>
    <xf numFmtId="164" fontId="0" fillId="3" borderId="0" xfId="0" applyNumberFormat="1" applyFill="1" applyAlignment="1">
      <alignment horizontal="right"/>
    </xf>
    <xf numFmtId="3" fontId="1" fillId="8" borderId="1" xfId="0" applyNumberFormat="1" applyFont="1" applyFill="1" applyBorder="1"/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 vertical="center" wrapText="1"/>
    </xf>
    <xf numFmtId="3" fontId="0" fillId="0" borderId="0" xfId="0" quotePrefix="1" applyNumberFormat="1" applyAlignment="1">
      <alignment horizontal="right"/>
    </xf>
    <xf numFmtId="164" fontId="1" fillId="7" borderId="5" xfId="0" applyNumberFormat="1" applyFont="1" applyFill="1" applyBorder="1"/>
    <xf numFmtId="3" fontId="3" fillId="8" borderId="10" xfId="2" applyNumberFormat="1" applyFill="1" applyBorder="1"/>
    <xf numFmtId="3" fontId="3" fillId="8" borderId="0" xfId="2" applyNumberFormat="1" applyFill="1"/>
    <xf numFmtId="164" fontId="3" fillId="7" borderId="0" xfId="2" applyNumberFormat="1" applyFill="1" applyAlignment="1">
      <alignment horizontal="right"/>
    </xf>
    <xf numFmtId="3" fontId="3" fillId="8" borderId="0" xfId="2" applyNumberFormat="1" applyFill="1" applyAlignment="1">
      <alignment horizontal="right"/>
    </xf>
    <xf numFmtId="3" fontId="3" fillId="0" borderId="0" xfId="2" applyNumberFormat="1" applyAlignment="1">
      <alignment horizontal="right"/>
    </xf>
    <xf numFmtId="3" fontId="3" fillId="6" borderId="0" xfId="2" applyNumberFormat="1" applyFill="1" applyAlignment="1">
      <alignment horizontal="right"/>
    </xf>
    <xf numFmtId="3" fontId="3" fillId="8" borderId="1" xfId="2" applyNumberFormat="1" applyFill="1" applyBorder="1"/>
    <xf numFmtId="3" fontId="1" fillId="8" borderId="1" xfId="2" applyNumberFormat="1" applyFont="1" applyFill="1" applyBorder="1"/>
    <xf numFmtId="164" fontId="3" fillId="3" borderId="0" xfId="2" applyNumberFormat="1" applyFill="1"/>
    <xf numFmtId="3" fontId="3" fillId="9" borderId="0" xfId="2" applyNumberFormat="1" applyFill="1"/>
    <xf numFmtId="164" fontId="0" fillId="3" borderId="1" xfId="0" applyNumberForma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3" fontId="1" fillId="8" borderId="1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" fontId="1" fillId="8" borderId="5" xfId="2" applyNumberFormat="1" applyFont="1" applyFill="1" applyBorder="1"/>
    <xf numFmtId="164" fontId="3" fillId="7" borderId="1" xfId="0" applyNumberFormat="1" applyFont="1" applyFill="1" applyBorder="1" applyAlignment="1">
      <alignment horizontal="right"/>
    </xf>
    <xf numFmtId="3" fontId="3" fillId="8" borderId="1" xfId="0" applyNumberFormat="1" applyFont="1" applyFill="1" applyBorder="1" applyAlignment="1">
      <alignment horizontal="right"/>
    </xf>
    <xf numFmtId="164" fontId="1" fillId="7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164" fontId="3" fillId="7" borderId="1" xfId="2" applyNumberFormat="1" applyFill="1" applyBorder="1" applyAlignment="1">
      <alignment horizontal="right"/>
    </xf>
    <xf numFmtId="164" fontId="3" fillId="8" borderId="0" xfId="0" applyNumberFormat="1" applyFont="1" applyFill="1"/>
    <xf numFmtId="164" fontId="3" fillId="0" borderId="0" xfId="0" applyNumberFormat="1" applyFont="1"/>
    <xf numFmtId="164" fontId="3" fillId="6" borderId="0" xfId="0" applyNumberFormat="1" applyFont="1" applyFill="1"/>
    <xf numFmtId="164" fontId="3" fillId="8" borderId="1" xfId="0" applyNumberFormat="1" applyFont="1" applyFill="1" applyBorder="1"/>
    <xf numFmtId="164" fontId="3" fillId="0" borderId="1" xfId="0" applyNumberFormat="1" applyFont="1" applyBorder="1"/>
    <xf numFmtId="164" fontId="3" fillId="6" borderId="1" xfId="0" applyNumberFormat="1" applyFont="1" applyFill="1" applyBorder="1"/>
    <xf numFmtId="164" fontId="1" fillId="8" borderId="1" xfId="0" applyNumberFormat="1" applyFont="1" applyFill="1" applyBorder="1"/>
    <xf numFmtId="164" fontId="1" fillId="0" borderId="1" xfId="0" applyNumberFormat="1" applyFont="1" applyBorder="1"/>
    <xf numFmtId="164" fontId="1" fillId="6" borderId="1" xfId="0" applyNumberFormat="1" applyFont="1" applyFill="1" applyBorder="1"/>
    <xf numFmtId="3" fontId="0" fillId="8" borderId="5" xfId="0" applyNumberFormat="1" applyFill="1" applyBorder="1"/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164" fontId="1" fillId="7" borderId="5" xfId="2" applyNumberFormat="1" applyFont="1" applyFill="1" applyBorder="1" applyAlignment="1">
      <alignment horizontal="right"/>
    </xf>
    <xf numFmtId="3" fontId="0" fillId="10" borderId="0" xfId="0" applyNumberFormat="1" applyFill="1"/>
    <xf numFmtId="3" fontId="0" fillId="10" borderId="7" xfId="0" applyNumberFormat="1" applyFill="1" applyBorder="1"/>
    <xf numFmtId="3" fontId="0" fillId="10" borderId="1" xfId="0" applyNumberFormat="1" applyFill="1" applyBorder="1"/>
    <xf numFmtId="3" fontId="0" fillId="10" borderId="8" xfId="0" applyNumberFormat="1" applyFill="1" applyBorder="1"/>
    <xf numFmtId="3" fontId="1" fillId="10" borderId="1" xfId="0" applyNumberFormat="1" applyFont="1" applyFill="1" applyBorder="1"/>
    <xf numFmtId="3" fontId="1" fillId="10" borderId="8" xfId="0" applyNumberFormat="1" applyFont="1" applyFill="1" applyBorder="1"/>
  </cellXfs>
  <cellStyles count="7">
    <cellStyle name="Bad" xfId="1" builtinId="27"/>
    <cellStyle name="Normal" xfId="0" builtinId="0"/>
    <cellStyle name="Normal 2" xfId="2" xr:uid="{00000000-0005-0000-0000-000002000000}"/>
    <cellStyle name="Normale 2" xfId="3" xr:uid="{00000000-0005-0000-0000-000003000000}"/>
    <cellStyle name="Normale 7" xfId="4" xr:uid="{00000000-0005-0000-0000-000004000000}"/>
    <cellStyle name="Normale 7 2" xfId="5" xr:uid="{00000000-0005-0000-0000-000005000000}"/>
    <cellStyle name="Normale_4_uesto_pere" xfId="6" xr:uid="{00000000-0005-0000-0000-000006000000}"/>
  </cellStyles>
  <dxfs count="35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388620</xdr:colOff>
      <xdr:row>13</xdr:row>
      <xdr:rowOff>144780</xdr:rowOff>
    </xdr:to>
    <xdr:pic>
      <xdr:nvPicPr>
        <xdr:cNvPr id="21765" name="Picture 1">
          <a:extLst>
            <a:ext uri="{FF2B5EF4-FFF2-40B4-BE49-F238E27FC236}">
              <a16:creationId xmlns:a16="http://schemas.microsoft.com/office/drawing/2014/main" id="{BE18FFB1-8365-F00A-332D-8A88D8A41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67640"/>
          <a:ext cx="2278380" cy="215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9:G39"/>
  <sheetViews>
    <sheetView workbookViewId="0"/>
  </sheetViews>
  <sheetFormatPr defaultColWidth="9.109375" defaultRowHeight="13.2" x14ac:dyDescent="0.25"/>
  <cols>
    <col min="3" max="3" width="18.44140625" customWidth="1"/>
  </cols>
  <sheetData>
    <row r="19" spans="2:7" x14ac:dyDescent="0.25">
      <c r="B19" s="3" t="s">
        <v>180</v>
      </c>
      <c r="G19" s="8" t="s">
        <v>142</v>
      </c>
    </row>
    <row r="21" spans="2:7" x14ac:dyDescent="0.25">
      <c r="B21" t="s">
        <v>60</v>
      </c>
      <c r="C21" t="s">
        <v>61</v>
      </c>
    </row>
    <row r="22" spans="2:7" x14ac:dyDescent="0.25">
      <c r="C22" t="s">
        <v>62</v>
      </c>
    </row>
    <row r="23" spans="2:7" x14ac:dyDescent="0.25">
      <c r="C23" t="s">
        <v>89</v>
      </c>
    </row>
    <row r="24" spans="2:7" x14ac:dyDescent="0.25">
      <c r="C24" s="3" t="s">
        <v>117</v>
      </c>
    </row>
    <row r="26" spans="2:7" x14ac:dyDescent="0.25">
      <c r="B26" t="s">
        <v>63</v>
      </c>
      <c r="C26" t="s">
        <v>64</v>
      </c>
      <c r="D26" t="s">
        <v>65</v>
      </c>
    </row>
    <row r="27" spans="2:7" x14ac:dyDescent="0.25">
      <c r="C27" t="s">
        <v>66</v>
      </c>
      <c r="D27" t="s">
        <v>67</v>
      </c>
    </row>
    <row r="28" spans="2:7" x14ac:dyDescent="0.25">
      <c r="C28" t="s">
        <v>68</v>
      </c>
      <c r="D28" t="s">
        <v>69</v>
      </c>
    </row>
    <row r="29" spans="2:7" x14ac:dyDescent="0.25">
      <c r="C29" t="s">
        <v>70</v>
      </c>
      <c r="D29" s="3" t="s">
        <v>85</v>
      </c>
    </row>
    <row r="30" spans="2:7" x14ac:dyDescent="0.25">
      <c r="C30" s="3" t="s">
        <v>134</v>
      </c>
      <c r="D30" t="s">
        <v>71</v>
      </c>
    </row>
    <row r="31" spans="2:7" x14ac:dyDescent="0.25">
      <c r="C31" t="s">
        <v>72</v>
      </c>
      <c r="D31" t="s">
        <v>130</v>
      </c>
    </row>
    <row r="32" spans="2:7" x14ac:dyDescent="0.25">
      <c r="C32" t="s">
        <v>73</v>
      </c>
      <c r="D32" t="s">
        <v>129</v>
      </c>
    </row>
    <row r="33" spans="3:4" x14ac:dyDescent="0.25">
      <c r="C33" t="s">
        <v>74</v>
      </c>
      <c r="D33" t="s">
        <v>75</v>
      </c>
    </row>
    <row r="34" spans="3:4" x14ac:dyDescent="0.25">
      <c r="C34" t="s">
        <v>76</v>
      </c>
      <c r="D34" s="15" t="s">
        <v>84</v>
      </c>
    </row>
    <row r="35" spans="3:4" x14ac:dyDescent="0.25">
      <c r="C35" t="s">
        <v>143</v>
      </c>
      <c r="D35" s="15" t="s">
        <v>144</v>
      </c>
    </row>
    <row r="36" spans="3:4" x14ac:dyDescent="0.25">
      <c r="C36" t="s">
        <v>78</v>
      </c>
      <c r="D36" t="s">
        <v>153</v>
      </c>
    </row>
    <row r="37" spans="3:4" x14ac:dyDescent="0.25">
      <c r="C37" t="s">
        <v>77</v>
      </c>
      <c r="D37" t="s">
        <v>83</v>
      </c>
    </row>
    <row r="38" spans="3:4" x14ac:dyDescent="0.25">
      <c r="C38" t="s">
        <v>79</v>
      </c>
      <c r="D38" t="s">
        <v>82</v>
      </c>
    </row>
    <row r="39" spans="3:4" x14ac:dyDescent="0.25">
      <c r="C39" t="s">
        <v>80</v>
      </c>
      <c r="D39" t="s">
        <v>81</v>
      </c>
    </row>
  </sheetData>
  <phoneticPr fontId="2" type="noConversion"/>
  <pageMargins left="0.75" right="0.75" top="1" bottom="1" header="0.5" footer="0.5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29"/>
  <sheetViews>
    <sheetView zoomScaleNormal="100" workbookViewId="0"/>
  </sheetViews>
  <sheetFormatPr defaultColWidth="9.109375" defaultRowHeight="13.2" x14ac:dyDescent="0.25"/>
  <cols>
    <col min="1" max="1" width="19.332031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2" width="11.44140625" customWidth="1"/>
    <col min="13" max="23" width="10.109375" bestFit="1" customWidth="1"/>
  </cols>
  <sheetData>
    <row r="1" spans="1:24" ht="13.8" thickBot="1" x14ac:dyDescent="0.3">
      <c r="A1" s="34" t="s">
        <v>90</v>
      </c>
      <c r="B1" s="119" t="s">
        <v>170</v>
      </c>
      <c r="C1" s="44" t="s">
        <v>171</v>
      </c>
      <c r="D1" s="67" t="s">
        <v>168</v>
      </c>
      <c r="E1" s="91">
        <v>45778</v>
      </c>
      <c r="F1" s="97">
        <v>45413</v>
      </c>
      <c r="G1" s="97">
        <v>45047</v>
      </c>
      <c r="H1" s="97">
        <v>44682</v>
      </c>
      <c r="I1" s="97">
        <v>44317</v>
      </c>
      <c r="J1" s="97">
        <v>43952</v>
      </c>
      <c r="K1" s="97">
        <v>43586</v>
      </c>
      <c r="L1" s="97">
        <v>43221</v>
      </c>
      <c r="M1" s="20">
        <v>42856</v>
      </c>
      <c r="N1" s="20">
        <v>42491</v>
      </c>
      <c r="O1" s="20">
        <v>42125</v>
      </c>
      <c r="P1" s="20">
        <v>41760</v>
      </c>
      <c r="Q1" s="20">
        <v>41395</v>
      </c>
      <c r="R1" s="20">
        <v>41030</v>
      </c>
      <c r="S1" s="20">
        <v>40664</v>
      </c>
      <c r="T1" s="20">
        <v>40299</v>
      </c>
      <c r="U1" s="20">
        <v>39934</v>
      </c>
      <c r="V1" s="20">
        <v>39569</v>
      </c>
      <c r="W1" s="21">
        <v>39203</v>
      </c>
    </row>
    <row r="2" spans="1:24" x14ac:dyDescent="0.25">
      <c r="A2" s="35" t="s">
        <v>4</v>
      </c>
      <c r="B2" s="42">
        <f t="shared" ref="B2:B21" si="0">IFERROR(((E2-F2)/F2),"")</f>
        <v>-0.70010235414534283</v>
      </c>
      <c r="C2" s="104">
        <v>-276</v>
      </c>
      <c r="D2" s="33">
        <v>-1325</v>
      </c>
      <c r="E2" s="38">
        <v>293</v>
      </c>
      <c r="F2" s="33">
        <v>977</v>
      </c>
      <c r="G2" s="33">
        <v>479</v>
      </c>
      <c r="H2" s="33">
        <v>3849</v>
      </c>
      <c r="I2" s="33">
        <v>0</v>
      </c>
      <c r="J2" s="33">
        <v>28</v>
      </c>
      <c r="K2" s="33">
        <v>1705</v>
      </c>
      <c r="L2" s="33">
        <v>0</v>
      </c>
      <c r="M2" s="33">
        <v>1166</v>
      </c>
      <c r="N2" s="33">
        <v>36</v>
      </c>
      <c r="O2" s="33">
        <v>969</v>
      </c>
      <c r="P2" s="33">
        <v>135</v>
      </c>
      <c r="Q2" s="33">
        <v>0</v>
      </c>
      <c r="R2" s="33">
        <v>0</v>
      </c>
      <c r="S2" s="33">
        <v>27</v>
      </c>
      <c r="T2" s="33">
        <v>50</v>
      </c>
      <c r="U2" s="33">
        <v>685</v>
      </c>
      <c r="V2" s="33">
        <v>60</v>
      </c>
      <c r="W2" s="59">
        <v>479</v>
      </c>
    </row>
    <row r="3" spans="1:24" x14ac:dyDescent="0.25">
      <c r="A3" s="35" t="s">
        <v>11</v>
      </c>
      <c r="B3" s="42">
        <f t="shared" si="0"/>
        <v>0.16307442049613663</v>
      </c>
      <c r="C3" s="104">
        <v>-4895</v>
      </c>
      <c r="D3" s="33">
        <v>-5947</v>
      </c>
      <c r="E3" s="38">
        <v>2860</v>
      </c>
      <c r="F3" s="33">
        <v>2459</v>
      </c>
      <c r="G3" s="33">
        <v>2096</v>
      </c>
      <c r="H3" s="33">
        <v>3179</v>
      </c>
      <c r="I3" s="33">
        <v>1375</v>
      </c>
      <c r="J3" s="33">
        <v>1459</v>
      </c>
      <c r="K3" s="33">
        <v>4332</v>
      </c>
      <c r="L3" s="33">
        <v>73</v>
      </c>
      <c r="M3" s="33">
        <v>374</v>
      </c>
      <c r="N3" s="33">
        <v>1194</v>
      </c>
      <c r="O3" s="33">
        <v>121</v>
      </c>
      <c r="P3" s="33">
        <v>812</v>
      </c>
      <c r="Q3" s="33">
        <v>80</v>
      </c>
      <c r="R3" s="33">
        <v>1108</v>
      </c>
      <c r="S3" s="33">
        <v>606</v>
      </c>
      <c r="T3" s="33">
        <v>873</v>
      </c>
      <c r="U3" s="33">
        <v>168</v>
      </c>
      <c r="V3" s="33">
        <v>167</v>
      </c>
      <c r="W3" s="59">
        <v>387</v>
      </c>
    </row>
    <row r="4" spans="1:24" x14ac:dyDescent="0.25">
      <c r="A4" s="35" t="s">
        <v>5</v>
      </c>
      <c r="B4" s="42" t="str">
        <f t="shared" si="0"/>
        <v/>
      </c>
      <c r="C4" s="104">
        <v>0</v>
      </c>
      <c r="D4" s="33">
        <v>0</v>
      </c>
      <c r="E4" s="38">
        <v>0</v>
      </c>
      <c r="F4" s="33">
        <v>0</v>
      </c>
      <c r="G4" s="33">
        <v>0</v>
      </c>
      <c r="H4" s="33">
        <v>0</v>
      </c>
      <c r="I4" s="33">
        <v>0</v>
      </c>
      <c r="J4" s="33">
        <v>0</v>
      </c>
      <c r="K4" s="33"/>
      <c r="L4" s="33">
        <v>0</v>
      </c>
      <c r="M4" s="33">
        <v>1</v>
      </c>
      <c r="N4" s="33">
        <v>32</v>
      </c>
      <c r="O4" s="33">
        <v>0</v>
      </c>
      <c r="P4" s="33">
        <v>3</v>
      </c>
      <c r="Q4" s="33">
        <v>0</v>
      </c>
      <c r="R4" s="33">
        <v>0</v>
      </c>
      <c r="S4" s="33">
        <v>0</v>
      </c>
      <c r="T4" s="33">
        <v>2</v>
      </c>
      <c r="U4" s="33">
        <v>11</v>
      </c>
      <c r="V4" s="33">
        <v>0</v>
      </c>
      <c r="W4" s="59">
        <v>65</v>
      </c>
    </row>
    <row r="5" spans="1:24" x14ac:dyDescent="0.25">
      <c r="A5" s="35" t="s">
        <v>2</v>
      </c>
      <c r="B5" s="42">
        <f t="shared" si="0"/>
        <v>0.25862519602718242</v>
      </c>
      <c r="C5" s="104">
        <v>-10096</v>
      </c>
      <c r="D5" s="33">
        <v>-10358</v>
      </c>
      <c r="E5" s="38">
        <v>9631</v>
      </c>
      <c r="F5" s="33">
        <v>7652</v>
      </c>
      <c r="G5" s="33">
        <v>23894</v>
      </c>
      <c r="H5" s="33">
        <v>16160</v>
      </c>
      <c r="I5" s="33">
        <v>11192</v>
      </c>
      <c r="J5" s="33">
        <v>12389</v>
      </c>
      <c r="K5" s="33">
        <v>7967</v>
      </c>
      <c r="L5" s="33">
        <v>3207</v>
      </c>
      <c r="M5" s="33">
        <v>9009</v>
      </c>
      <c r="N5" s="33">
        <v>6032</v>
      </c>
      <c r="O5" s="33">
        <v>14788</v>
      </c>
      <c r="P5" s="33">
        <v>5087</v>
      </c>
      <c r="Q5" s="33">
        <v>3720</v>
      </c>
      <c r="R5" s="33">
        <v>4992</v>
      </c>
      <c r="S5" s="33">
        <v>5120</v>
      </c>
      <c r="T5" s="33">
        <v>9087</v>
      </c>
      <c r="U5" s="33">
        <v>3893</v>
      </c>
      <c r="V5" s="33">
        <v>4053</v>
      </c>
      <c r="W5" s="59">
        <v>4991</v>
      </c>
    </row>
    <row r="6" spans="1:24" x14ac:dyDescent="0.25">
      <c r="A6" s="35" t="s">
        <v>12</v>
      </c>
      <c r="B6" s="42">
        <f t="shared" si="0"/>
        <v>0.61375661375661372</v>
      </c>
      <c r="C6" s="104">
        <v>-1055</v>
      </c>
      <c r="D6" s="33">
        <v>-1949</v>
      </c>
      <c r="E6" s="38">
        <v>1525</v>
      </c>
      <c r="F6" s="33">
        <v>945</v>
      </c>
      <c r="G6" s="33">
        <v>1004</v>
      </c>
      <c r="H6" s="33">
        <v>1584</v>
      </c>
      <c r="I6" s="33">
        <v>725</v>
      </c>
      <c r="J6" s="33">
        <v>725</v>
      </c>
      <c r="K6" s="33">
        <v>4125</v>
      </c>
      <c r="L6" s="33">
        <v>90</v>
      </c>
      <c r="M6" s="33">
        <v>1703</v>
      </c>
      <c r="N6" s="33">
        <v>320</v>
      </c>
      <c r="O6" s="33">
        <v>1086</v>
      </c>
      <c r="P6" s="33">
        <v>1284</v>
      </c>
      <c r="Q6" s="33">
        <v>22</v>
      </c>
      <c r="R6" s="33">
        <v>222</v>
      </c>
      <c r="S6" s="33">
        <v>166</v>
      </c>
      <c r="T6" s="33">
        <v>135</v>
      </c>
      <c r="U6" s="33">
        <v>67</v>
      </c>
      <c r="V6" s="33">
        <v>94</v>
      </c>
      <c r="W6" s="59">
        <v>26</v>
      </c>
    </row>
    <row r="7" spans="1:24" x14ac:dyDescent="0.25">
      <c r="A7" s="35" t="s">
        <v>9</v>
      </c>
      <c r="B7" s="42">
        <f t="shared" si="0"/>
        <v>-0.53141091658084449</v>
      </c>
      <c r="C7" s="104">
        <v>-3184</v>
      </c>
      <c r="D7" s="33">
        <v>-4029</v>
      </c>
      <c r="E7" s="38">
        <v>2275</v>
      </c>
      <c r="F7" s="33">
        <v>4855</v>
      </c>
      <c r="G7" s="33">
        <v>4953</v>
      </c>
      <c r="H7" s="33">
        <v>6831</v>
      </c>
      <c r="I7" s="33">
        <v>5114</v>
      </c>
      <c r="J7" s="33">
        <v>3246</v>
      </c>
      <c r="K7" s="33">
        <v>2468</v>
      </c>
      <c r="L7" s="33">
        <v>283</v>
      </c>
      <c r="M7" s="33">
        <v>2289</v>
      </c>
      <c r="N7" s="33">
        <v>1711</v>
      </c>
      <c r="O7" s="33">
        <v>543</v>
      </c>
      <c r="P7" s="33">
        <v>1254</v>
      </c>
      <c r="Q7" s="33">
        <v>954</v>
      </c>
      <c r="R7" s="33">
        <v>390</v>
      </c>
      <c r="S7" s="33">
        <v>263</v>
      </c>
      <c r="T7" s="33">
        <v>84</v>
      </c>
      <c r="U7" s="33">
        <v>539</v>
      </c>
      <c r="V7" s="33">
        <v>494</v>
      </c>
      <c r="W7" s="59">
        <v>387</v>
      </c>
    </row>
    <row r="8" spans="1:24" x14ac:dyDescent="0.25">
      <c r="A8" s="35" t="s">
        <v>14</v>
      </c>
      <c r="B8" s="42" t="str">
        <f t="shared" si="0"/>
        <v/>
      </c>
      <c r="C8" s="104">
        <v>0</v>
      </c>
      <c r="D8" s="33">
        <v>0</v>
      </c>
      <c r="E8" s="38">
        <v>0</v>
      </c>
      <c r="F8" s="33">
        <v>0</v>
      </c>
      <c r="G8" s="33">
        <v>0</v>
      </c>
      <c r="H8" s="33">
        <v>0</v>
      </c>
      <c r="I8" s="33">
        <v>0</v>
      </c>
      <c r="J8" s="33"/>
      <c r="K8" s="33">
        <v>50</v>
      </c>
      <c r="L8" s="33">
        <v>0</v>
      </c>
      <c r="M8" s="33">
        <v>165</v>
      </c>
      <c r="N8" s="33">
        <v>372</v>
      </c>
      <c r="O8" s="33">
        <v>446</v>
      </c>
      <c r="P8" s="33">
        <v>258</v>
      </c>
      <c r="Q8" s="33">
        <v>33</v>
      </c>
      <c r="R8" s="33">
        <v>445</v>
      </c>
      <c r="S8" s="33">
        <v>930</v>
      </c>
      <c r="T8" s="33">
        <v>2067</v>
      </c>
      <c r="U8" s="33">
        <v>1272</v>
      </c>
      <c r="V8" s="33">
        <v>30</v>
      </c>
      <c r="W8" s="59">
        <v>2464</v>
      </c>
    </row>
    <row r="9" spans="1:24" x14ac:dyDescent="0.25">
      <c r="A9" s="35" t="s">
        <v>3</v>
      </c>
      <c r="B9" s="42">
        <f t="shared" si="0"/>
        <v>-0.4624765478424015</v>
      </c>
      <c r="C9" s="104">
        <v>-238</v>
      </c>
      <c r="D9" s="33">
        <v>-538</v>
      </c>
      <c r="E9" s="38">
        <v>573</v>
      </c>
      <c r="F9" s="33">
        <v>1066</v>
      </c>
      <c r="G9" s="33">
        <v>649</v>
      </c>
      <c r="H9" s="33">
        <v>1101</v>
      </c>
      <c r="I9" s="33">
        <v>1365</v>
      </c>
      <c r="J9" s="33">
        <v>1207</v>
      </c>
      <c r="K9" s="33">
        <v>1576</v>
      </c>
      <c r="L9" s="33">
        <v>206</v>
      </c>
      <c r="M9" s="33">
        <v>4596</v>
      </c>
      <c r="N9" s="33">
        <v>3917</v>
      </c>
      <c r="O9" s="33">
        <v>3625</v>
      </c>
      <c r="P9" s="33">
        <v>4264</v>
      </c>
      <c r="Q9" s="33">
        <v>4903</v>
      </c>
      <c r="R9" s="33">
        <v>7930</v>
      </c>
      <c r="S9" s="33">
        <v>5201</v>
      </c>
      <c r="T9" s="33">
        <v>6065</v>
      </c>
      <c r="U9" s="33">
        <v>9976</v>
      </c>
      <c r="V9" s="33">
        <v>4752</v>
      </c>
      <c r="W9" s="59">
        <v>5988</v>
      </c>
    </row>
    <row r="10" spans="1:24" x14ac:dyDescent="0.25">
      <c r="A10" s="35" t="s">
        <v>15</v>
      </c>
      <c r="B10" s="42" t="str">
        <f t="shared" si="0"/>
        <v/>
      </c>
      <c r="C10" s="104">
        <v>0</v>
      </c>
      <c r="D10" s="33">
        <v>-4</v>
      </c>
      <c r="E10" s="38">
        <v>0</v>
      </c>
      <c r="F10" s="33">
        <v>0</v>
      </c>
      <c r="G10" s="33">
        <v>0</v>
      </c>
      <c r="H10" s="33">
        <v>0</v>
      </c>
      <c r="I10" s="33">
        <v>0</v>
      </c>
      <c r="J10" s="33"/>
      <c r="K10" s="33"/>
      <c r="L10" s="33">
        <v>0</v>
      </c>
      <c r="M10" s="33">
        <v>0</v>
      </c>
      <c r="N10" s="33"/>
      <c r="O10" s="33">
        <v>0</v>
      </c>
      <c r="P10" s="33">
        <v>0</v>
      </c>
      <c r="Q10" s="33">
        <v>0</v>
      </c>
      <c r="R10" s="33">
        <v>0</v>
      </c>
      <c r="S10" s="33">
        <v>30</v>
      </c>
      <c r="T10" s="33"/>
      <c r="U10" s="33"/>
      <c r="V10" s="33"/>
      <c r="W10" s="59"/>
    </row>
    <row r="11" spans="1:24" x14ac:dyDescent="0.25">
      <c r="A11" s="35" t="s">
        <v>10</v>
      </c>
      <c r="B11" s="42">
        <f t="shared" si="0"/>
        <v>-0.3433922996878252</v>
      </c>
      <c r="C11" s="104">
        <v>-262</v>
      </c>
      <c r="D11" s="33">
        <v>-170</v>
      </c>
      <c r="E11" s="38">
        <v>631</v>
      </c>
      <c r="F11" s="33">
        <v>961</v>
      </c>
      <c r="G11" s="33">
        <v>2150</v>
      </c>
      <c r="H11" s="33">
        <v>4795</v>
      </c>
      <c r="I11" s="33">
        <v>4209</v>
      </c>
      <c r="J11" s="33">
        <v>1163</v>
      </c>
      <c r="K11" s="33">
        <v>6451</v>
      </c>
      <c r="L11" s="33">
        <v>4879</v>
      </c>
      <c r="M11" s="33">
        <v>6508</v>
      </c>
      <c r="N11" s="33">
        <v>12309</v>
      </c>
      <c r="O11" s="33">
        <v>3973</v>
      </c>
      <c r="P11" s="33">
        <v>14228</v>
      </c>
      <c r="Q11" s="33">
        <v>13989</v>
      </c>
      <c r="R11" s="33">
        <v>10754</v>
      </c>
      <c r="S11" s="33">
        <v>8439</v>
      </c>
      <c r="T11" s="33">
        <v>14681</v>
      </c>
      <c r="U11" s="33">
        <v>11954</v>
      </c>
      <c r="V11" s="33">
        <v>5243</v>
      </c>
      <c r="W11" s="59">
        <v>10228</v>
      </c>
      <c r="X11" s="1"/>
    </row>
    <row r="12" spans="1:24" x14ac:dyDescent="0.25">
      <c r="A12" s="35" t="s">
        <v>98</v>
      </c>
      <c r="B12" s="42" t="str">
        <f t="shared" si="0"/>
        <v/>
      </c>
      <c r="C12" s="104">
        <v>0</v>
      </c>
      <c r="D12" s="33">
        <v>0</v>
      </c>
      <c r="E12" s="38">
        <v>0</v>
      </c>
      <c r="F12" s="33">
        <v>0</v>
      </c>
      <c r="G12" s="33">
        <v>0</v>
      </c>
      <c r="H12" s="33">
        <v>0</v>
      </c>
      <c r="I12" s="33">
        <v>0</v>
      </c>
      <c r="J12" s="33"/>
      <c r="K12" s="33"/>
      <c r="L12" s="33">
        <v>0</v>
      </c>
      <c r="M12" s="33">
        <v>0</v>
      </c>
      <c r="N12" s="33"/>
      <c r="O12" s="33"/>
      <c r="P12" s="33"/>
      <c r="Q12" s="33"/>
      <c r="R12" s="33"/>
      <c r="S12" s="33"/>
      <c r="T12" s="33"/>
      <c r="U12" s="33"/>
      <c r="V12" s="33"/>
      <c r="W12" s="59"/>
      <c r="X12" s="1"/>
    </row>
    <row r="13" spans="1:24" x14ac:dyDescent="0.25">
      <c r="A13" s="35" t="s">
        <v>26</v>
      </c>
      <c r="B13" s="42">
        <f t="shared" si="0"/>
        <v>0.44810078977059042</v>
      </c>
      <c r="C13" s="104">
        <v>-1049</v>
      </c>
      <c r="D13" s="33">
        <v>-1443</v>
      </c>
      <c r="E13" s="38">
        <v>7701</v>
      </c>
      <c r="F13" s="33">
        <v>5318</v>
      </c>
      <c r="G13" s="33">
        <v>7367</v>
      </c>
      <c r="H13" s="33">
        <v>9694</v>
      </c>
      <c r="I13" s="33">
        <v>5735</v>
      </c>
      <c r="J13" s="33">
        <v>6314</v>
      </c>
      <c r="K13" s="33">
        <v>16440</v>
      </c>
      <c r="L13" s="33">
        <v>4101</v>
      </c>
      <c r="M13" s="33">
        <v>17120</v>
      </c>
      <c r="N13" s="33">
        <v>15416</v>
      </c>
      <c r="O13" s="33">
        <v>19390</v>
      </c>
      <c r="P13" s="33">
        <v>16308</v>
      </c>
      <c r="Q13" s="33">
        <v>20984</v>
      </c>
      <c r="R13" s="33">
        <v>26156</v>
      </c>
      <c r="S13" s="33">
        <v>16494</v>
      </c>
      <c r="T13" s="33">
        <v>25474</v>
      </c>
      <c r="U13" s="33">
        <v>26102</v>
      </c>
      <c r="V13" s="33">
        <v>19987</v>
      </c>
      <c r="W13" s="59">
        <v>22091</v>
      </c>
      <c r="X13" s="1"/>
    </row>
    <row r="14" spans="1:24" x14ac:dyDescent="0.25">
      <c r="A14" s="35" t="s">
        <v>25</v>
      </c>
      <c r="B14" s="42">
        <f t="shared" si="0"/>
        <v>0.12253333333333333</v>
      </c>
      <c r="C14" s="104">
        <v>-1781</v>
      </c>
      <c r="D14" s="33">
        <v>-3026</v>
      </c>
      <c r="E14" s="38">
        <v>8419</v>
      </c>
      <c r="F14" s="33">
        <v>7500</v>
      </c>
      <c r="G14" s="33">
        <v>9914</v>
      </c>
      <c r="H14" s="33">
        <v>17711</v>
      </c>
      <c r="I14" s="33">
        <v>17005</v>
      </c>
      <c r="J14" s="33">
        <v>13820</v>
      </c>
      <c r="K14" s="33">
        <v>27729</v>
      </c>
      <c r="L14" s="33">
        <v>8165</v>
      </c>
      <c r="M14" s="33">
        <v>32371</v>
      </c>
      <c r="N14" s="33">
        <v>32556</v>
      </c>
      <c r="O14" s="33">
        <v>36592</v>
      </c>
      <c r="P14" s="33">
        <v>26925</v>
      </c>
      <c r="Q14" s="33">
        <v>34435</v>
      </c>
      <c r="R14" s="33">
        <v>34646</v>
      </c>
      <c r="S14" s="33">
        <v>25314</v>
      </c>
      <c r="T14" s="33">
        <v>33490</v>
      </c>
      <c r="U14" s="33">
        <v>29994</v>
      </c>
      <c r="V14" s="33">
        <v>21156</v>
      </c>
      <c r="W14" s="59">
        <v>27642</v>
      </c>
    </row>
    <row r="15" spans="1:24" x14ac:dyDescent="0.25">
      <c r="A15" s="35" t="s">
        <v>13</v>
      </c>
      <c r="B15" s="42">
        <f t="shared" si="0"/>
        <v>-0.31172413793103448</v>
      </c>
      <c r="C15" s="104">
        <v>-487</v>
      </c>
      <c r="D15" s="33">
        <v>-1239</v>
      </c>
      <c r="E15" s="38">
        <v>998</v>
      </c>
      <c r="F15" s="33">
        <v>1450</v>
      </c>
      <c r="G15" s="33">
        <v>2499</v>
      </c>
      <c r="H15" s="33">
        <v>3036</v>
      </c>
      <c r="I15" s="33">
        <v>2169</v>
      </c>
      <c r="J15" s="33">
        <v>1723</v>
      </c>
      <c r="K15" s="33">
        <v>2716</v>
      </c>
      <c r="L15" s="33">
        <v>1226</v>
      </c>
      <c r="M15" s="33">
        <v>5072</v>
      </c>
      <c r="N15" s="33">
        <v>6123</v>
      </c>
      <c r="O15" s="33">
        <v>6427</v>
      </c>
      <c r="P15" s="33">
        <v>3616</v>
      </c>
      <c r="Q15" s="33">
        <v>2784</v>
      </c>
      <c r="R15" s="33">
        <v>2679</v>
      </c>
      <c r="S15" s="33">
        <v>2171</v>
      </c>
      <c r="T15" s="33">
        <v>2241</v>
      </c>
      <c r="U15" s="33">
        <v>1515</v>
      </c>
      <c r="V15" s="33">
        <v>94</v>
      </c>
      <c r="W15" s="59">
        <v>397</v>
      </c>
    </row>
    <row r="16" spans="1:24" x14ac:dyDescent="0.25">
      <c r="A16" s="35" t="s">
        <v>132</v>
      </c>
      <c r="B16" s="42">
        <f t="shared" si="0"/>
        <v>-9.2209951312195698E-2</v>
      </c>
      <c r="C16" s="104">
        <v>-4820</v>
      </c>
      <c r="D16" s="33">
        <v>-5447</v>
      </c>
      <c r="E16" s="38">
        <v>30578</v>
      </c>
      <c r="F16" s="33">
        <v>33684</v>
      </c>
      <c r="G16" s="33">
        <v>32130</v>
      </c>
      <c r="H16" s="33">
        <v>44848</v>
      </c>
      <c r="I16" s="33">
        <v>33632</v>
      </c>
      <c r="J16" s="33">
        <v>25281</v>
      </c>
      <c r="K16" s="33">
        <v>42338</v>
      </c>
      <c r="L16" s="33">
        <v>20336</v>
      </c>
      <c r="M16" s="33">
        <v>37015</v>
      </c>
      <c r="N16" s="33">
        <v>22485</v>
      </c>
      <c r="O16" s="33">
        <v>16280</v>
      </c>
      <c r="P16" s="33">
        <v>10256</v>
      </c>
      <c r="Q16" s="33">
        <v>12669</v>
      </c>
      <c r="R16" s="33">
        <v>9733</v>
      </c>
      <c r="S16" s="33">
        <v>5164</v>
      </c>
      <c r="T16" s="33">
        <v>8667</v>
      </c>
      <c r="U16" s="33">
        <v>6244</v>
      </c>
      <c r="V16" s="33">
        <v>4412</v>
      </c>
      <c r="W16" s="59">
        <v>1039</v>
      </c>
    </row>
    <row r="17" spans="1:23" x14ac:dyDescent="0.25">
      <c r="A17" s="35" t="s">
        <v>88</v>
      </c>
      <c r="B17" s="42" t="str">
        <f t="shared" si="0"/>
        <v/>
      </c>
      <c r="C17" s="104">
        <v>0</v>
      </c>
      <c r="D17" s="33">
        <v>0</v>
      </c>
      <c r="E17" s="38">
        <v>0</v>
      </c>
      <c r="F17" s="33">
        <v>0</v>
      </c>
      <c r="G17" s="33">
        <v>2</v>
      </c>
      <c r="H17" s="33">
        <v>135</v>
      </c>
      <c r="I17" s="33">
        <v>168</v>
      </c>
      <c r="J17" s="33">
        <v>4</v>
      </c>
      <c r="K17" s="33">
        <v>6</v>
      </c>
      <c r="L17" s="33">
        <v>2</v>
      </c>
      <c r="M17" s="33">
        <v>7</v>
      </c>
      <c r="N17" s="33">
        <v>111</v>
      </c>
      <c r="O17" s="33">
        <v>12</v>
      </c>
      <c r="P17" s="33">
        <v>4</v>
      </c>
      <c r="Q17" s="33">
        <v>210</v>
      </c>
      <c r="R17" s="33">
        <v>244</v>
      </c>
      <c r="S17" s="33"/>
      <c r="T17" s="33">
        <v>7</v>
      </c>
      <c r="U17" s="33">
        <v>21</v>
      </c>
      <c r="V17" s="33">
        <v>3</v>
      </c>
      <c r="W17" s="59">
        <v>8</v>
      </c>
    </row>
    <row r="18" spans="1:23" x14ac:dyDescent="0.25">
      <c r="A18" s="35" t="s">
        <v>95</v>
      </c>
      <c r="B18" s="42">
        <f t="shared" si="0"/>
        <v>5.7291666666666664E-2</v>
      </c>
      <c r="C18" s="104">
        <v>-261</v>
      </c>
      <c r="D18" s="33">
        <v>-316</v>
      </c>
      <c r="E18" s="38">
        <v>203</v>
      </c>
      <c r="F18" s="33">
        <v>192</v>
      </c>
      <c r="G18" s="33">
        <v>923</v>
      </c>
      <c r="H18" s="33">
        <v>523</v>
      </c>
      <c r="I18" s="33">
        <v>278</v>
      </c>
      <c r="J18" s="33">
        <v>151</v>
      </c>
      <c r="K18" s="33">
        <v>674</v>
      </c>
      <c r="L18" s="33">
        <v>0</v>
      </c>
      <c r="M18" s="33">
        <v>75</v>
      </c>
      <c r="N18" s="33">
        <v>177</v>
      </c>
      <c r="O18" s="33">
        <v>118</v>
      </c>
      <c r="P18" s="33">
        <v>171</v>
      </c>
      <c r="Q18" s="33">
        <v>119</v>
      </c>
      <c r="R18" s="33">
        <v>110</v>
      </c>
      <c r="S18" s="33">
        <v>562</v>
      </c>
      <c r="T18" s="33">
        <v>532</v>
      </c>
      <c r="U18" s="33">
        <v>589</v>
      </c>
      <c r="V18" s="33">
        <v>46</v>
      </c>
      <c r="W18" s="59">
        <v>519</v>
      </c>
    </row>
    <row r="19" spans="1:23" x14ac:dyDescent="0.25">
      <c r="A19" s="35" t="s">
        <v>141</v>
      </c>
      <c r="B19" s="42">
        <f t="shared" si="0"/>
        <v>-0.20415311483612711</v>
      </c>
      <c r="C19" s="104">
        <v>-6616</v>
      </c>
      <c r="D19" s="33">
        <v>2429</v>
      </c>
      <c r="E19" s="38">
        <v>9543</v>
      </c>
      <c r="F19" s="33">
        <v>11991</v>
      </c>
      <c r="G19" s="33">
        <v>16399</v>
      </c>
      <c r="H19" s="33">
        <v>12071</v>
      </c>
      <c r="I19" s="33">
        <v>13307</v>
      </c>
      <c r="J19" s="33">
        <v>2563</v>
      </c>
      <c r="K19" s="33">
        <v>14306</v>
      </c>
      <c r="L19" s="33">
        <v>2556</v>
      </c>
      <c r="M19" s="33">
        <v>8061</v>
      </c>
      <c r="N19" s="33">
        <v>8177</v>
      </c>
      <c r="O19" s="33">
        <v>7759</v>
      </c>
      <c r="P19" s="33">
        <v>5705</v>
      </c>
      <c r="Q19" s="33">
        <v>2977</v>
      </c>
      <c r="R19" s="33">
        <v>2456</v>
      </c>
      <c r="S19" s="33">
        <v>1276</v>
      </c>
      <c r="T19" s="33">
        <v>1613</v>
      </c>
      <c r="U19" s="33">
        <v>837</v>
      </c>
      <c r="V19" s="33">
        <v>951</v>
      </c>
      <c r="W19" s="59">
        <v>91</v>
      </c>
    </row>
    <row r="20" spans="1:23" ht="13.8" thickBot="1" x14ac:dyDescent="0.3">
      <c r="A20" s="36" t="s">
        <v>6</v>
      </c>
      <c r="B20" s="43">
        <f t="shared" si="0"/>
        <v>-0.39398180545836248</v>
      </c>
      <c r="C20" s="104">
        <v>-1709</v>
      </c>
      <c r="D20" s="33">
        <v>-11630</v>
      </c>
      <c r="E20" s="38">
        <v>2598</v>
      </c>
      <c r="F20" s="33">
        <v>4287</v>
      </c>
      <c r="G20" s="33">
        <v>4320</v>
      </c>
      <c r="H20" s="33">
        <v>1722</v>
      </c>
      <c r="I20" s="33">
        <v>579</v>
      </c>
      <c r="J20" s="33">
        <v>834</v>
      </c>
      <c r="K20" s="33">
        <v>1090</v>
      </c>
      <c r="L20" s="33">
        <v>141</v>
      </c>
      <c r="M20" s="33">
        <v>1360</v>
      </c>
      <c r="N20" s="32">
        <v>897</v>
      </c>
      <c r="O20" s="32">
        <v>2104</v>
      </c>
      <c r="P20" s="32">
        <v>2095</v>
      </c>
      <c r="Q20" s="32">
        <v>2625</v>
      </c>
      <c r="R20" s="32">
        <v>924</v>
      </c>
      <c r="S20" s="32">
        <v>1434</v>
      </c>
      <c r="T20" s="32">
        <v>1433</v>
      </c>
      <c r="U20" s="32">
        <v>1528</v>
      </c>
      <c r="V20" s="32">
        <v>961</v>
      </c>
      <c r="W20" s="60">
        <v>1325</v>
      </c>
    </row>
    <row r="21" spans="1:23" ht="13.8" thickBot="1" x14ac:dyDescent="0.3">
      <c r="A21" s="37" t="s">
        <v>91</v>
      </c>
      <c r="B21" s="66">
        <f t="shared" si="0"/>
        <v>-6.6105091375979461E-2</v>
      </c>
      <c r="C21" s="109">
        <v>-36729</v>
      </c>
      <c r="D21" s="41">
        <v>-44992</v>
      </c>
      <c r="E21" s="40">
        <f t="shared" ref="E21" si="1">SUM(E2:E20)</f>
        <v>77828</v>
      </c>
      <c r="F21" s="41">
        <f>SUM(F2:F20)</f>
        <v>83337</v>
      </c>
      <c r="G21" s="41">
        <f t="shared" ref="G21:L21" si="2">SUM(G2:G20)</f>
        <v>108779</v>
      </c>
      <c r="H21" s="41">
        <f t="shared" si="2"/>
        <v>127239</v>
      </c>
      <c r="I21" s="41">
        <f t="shared" si="2"/>
        <v>96853</v>
      </c>
      <c r="J21" s="41">
        <f t="shared" si="2"/>
        <v>70907</v>
      </c>
      <c r="K21" s="41">
        <f t="shared" si="2"/>
        <v>133973</v>
      </c>
      <c r="L21" s="41">
        <f t="shared" si="2"/>
        <v>45265</v>
      </c>
      <c r="M21" s="41">
        <f t="shared" ref="M21:W21" si="3">SUM(M2:M20)</f>
        <v>126892</v>
      </c>
      <c r="N21" s="41">
        <f t="shared" si="3"/>
        <v>111865</v>
      </c>
      <c r="O21" s="41">
        <f t="shared" si="3"/>
        <v>114233</v>
      </c>
      <c r="P21" s="41">
        <f t="shared" si="3"/>
        <v>92405</v>
      </c>
      <c r="Q21" s="41">
        <f t="shared" si="3"/>
        <v>100504</v>
      </c>
      <c r="R21" s="41">
        <f t="shared" si="3"/>
        <v>102789</v>
      </c>
      <c r="S21" s="41">
        <f t="shared" si="3"/>
        <v>73197</v>
      </c>
      <c r="T21" s="41">
        <f t="shared" si="3"/>
        <v>106501</v>
      </c>
      <c r="U21" s="41">
        <f t="shared" si="3"/>
        <v>95395</v>
      </c>
      <c r="V21" s="41">
        <f t="shared" si="3"/>
        <v>62503</v>
      </c>
      <c r="W21" s="30">
        <f t="shared" si="3"/>
        <v>78127</v>
      </c>
    </row>
    <row r="23" spans="1:23" ht="13.8" thickBot="1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s="45" customFormat="1" ht="13.8" thickBot="1" x14ac:dyDescent="0.3">
      <c r="A24" s="46" t="s">
        <v>24</v>
      </c>
      <c r="B24" s="119" t="s">
        <v>170</v>
      </c>
      <c r="C24" s="44" t="s">
        <v>171</v>
      </c>
      <c r="D24" s="67" t="s">
        <v>168</v>
      </c>
      <c r="E24" s="91">
        <v>45778</v>
      </c>
      <c r="F24" s="97">
        <v>45413</v>
      </c>
      <c r="G24" s="97">
        <v>45047</v>
      </c>
      <c r="H24" s="97">
        <v>44682</v>
      </c>
      <c r="I24" s="97">
        <v>44317</v>
      </c>
      <c r="J24" s="97">
        <v>43952</v>
      </c>
      <c r="K24" s="97">
        <v>43586</v>
      </c>
      <c r="L24" s="97">
        <v>43221</v>
      </c>
      <c r="M24" s="20">
        <v>42856</v>
      </c>
      <c r="N24" s="20">
        <v>42491</v>
      </c>
      <c r="O24" s="20">
        <v>42125</v>
      </c>
      <c r="P24" s="20">
        <v>41760</v>
      </c>
      <c r="Q24" s="20">
        <v>41395</v>
      </c>
      <c r="R24" s="20">
        <v>41030</v>
      </c>
      <c r="S24" s="20">
        <v>40664</v>
      </c>
      <c r="T24" s="20">
        <v>40299</v>
      </c>
      <c r="U24" s="20">
        <v>39934</v>
      </c>
      <c r="V24" s="20">
        <v>39569</v>
      </c>
      <c r="W24" s="21">
        <v>39203</v>
      </c>
    </row>
    <row r="25" spans="1:23" s="45" customFormat="1" ht="13.8" thickBot="1" x14ac:dyDescent="0.3">
      <c r="A25" s="51" t="s">
        <v>6</v>
      </c>
      <c r="B25" s="78" t="str">
        <f t="shared" ref="B25:B26" si="4">IFERROR(((E25-F25)/F25),"")</f>
        <v/>
      </c>
      <c r="C25" s="137">
        <v>-748</v>
      </c>
      <c r="D25" s="54">
        <v>-1319</v>
      </c>
      <c r="E25" s="53">
        <v>304</v>
      </c>
      <c r="F25" s="54"/>
      <c r="G25" s="54">
        <v>93</v>
      </c>
      <c r="H25" s="54">
        <v>367</v>
      </c>
      <c r="I25" s="54">
        <v>505</v>
      </c>
      <c r="J25" s="54">
        <v>225</v>
      </c>
      <c r="K25" s="54">
        <v>404</v>
      </c>
      <c r="L25" s="54">
        <v>0</v>
      </c>
      <c r="M25" s="54">
        <v>25</v>
      </c>
      <c r="N25" s="54">
        <v>20</v>
      </c>
      <c r="O25" s="54">
        <v>427</v>
      </c>
      <c r="P25" s="54">
        <v>234</v>
      </c>
      <c r="Q25" s="54">
        <v>23</v>
      </c>
      <c r="R25" s="54">
        <v>189</v>
      </c>
      <c r="S25" s="54">
        <v>1</v>
      </c>
      <c r="T25" s="54">
        <v>113</v>
      </c>
      <c r="U25" s="54">
        <v>0</v>
      </c>
      <c r="V25" s="54">
        <v>151</v>
      </c>
      <c r="W25" s="62">
        <v>24</v>
      </c>
    </row>
    <row r="26" spans="1:23" s="45" customFormat="1" ht="13.8" thickBot="1" x14ac:dyDescent="0.3">
      <c r="A26" s="55" t="s">
        <v>91</v>
      </c>
      <c r="B26" s="56" t="str">
        <f t="shared" si="4"/>
        <v/>
      </c>
      <c r="C26" s="146">
        <v>-748</v>
      </c>
      <c r="D26" s="72">
        <v>-1319</v>
      </c>
      <c r="E26" s="57">
        <f>SUM(E25)</f>
        <v>304</v>
      </c>
      <c r="F26" s="72">
        <f>SUM(F25)</f>
        <v>0</v>
      </c>
      <c r="G26" s="72">
        <v>93</v>
      </c>
      <c r="H26" s="72">
        <v>367</v>
      </c>
      <c r="I26" s="72">
        <v>505</v>
      </c>
      <c r="J26" s="72">
        <f>SUM(J25)</f>
        <v>225</v>
      </c>
      <c r="K26" s="72">
        <v>404</v>
      </c>
      <c r="L26" s="72">
        <v>0</v>
      </c>
      <c r="M26" s="72">
        <f>SUM(M25)</f>
        <v>25</v>
      </c>
      <c r="N26" s="72">
        <f>SUM(N25)</f>
        <v>20</v>
      </c>
      <c r="O26" s="72">
        <f>SUM(O25)</f>
        <v>427</v>
      </c>
      <c r="P26" s="72">
        <f>SUM(P25)</f>
        <v>234</v>
      </c>
      <c r="Q26" s="72">
        <f>SUM(Q25)</f>
        <v>23</v>
      </c>
      <c r="R26" s="72">
        <f t="shared" ref="R26:W26" si="5">SUM(R25)</f>
        <v>189</v>
      </c>
      <c r="S26" s="72">
        <f t="shared" si="5"/>
        <v>1</v>
      </c>
      <c r="T26" s="72">
        <f t="shared" si="5"/>
        <v>113</v>
      </c>
      <c r="U26" s="72">
        <f t="shared" si="5"/>
        <v>0</v>
      </c>
      <c r="V26" s="58">
        <f t="shared" si="5"/>
        <v>151</v>
      </c>
      <c r="W26" s="63">
        <f t="shared" si="5"/>
        <v>24</v>
      </c>
    </row>
    <row r="27" spans="1:23" s="45" customFormat="1" x14ac:dyDescent="0.25"/>
    <row r="28" spans="1:23" s="45" customFormat="1" x14ac:dyDescent="0.25"/>
    <row r="29" spans="1:23" s="45" customFormat="1" x14ac:dyDescent="0.25">
      <c r="A29"/>
      <c r="B29"/>
      <c r="C29"/>
      <c r="D29"/>
      <c r="E29"/>
    </row>
  </sheetData>
  <conditionalFormatting sqref="E1">
    <cfRule type="expression" dxfId="15" priority="2">
      <formula>ISBLANK(XFD1)=FALSE</formula>
    </cfRule>
  </conditionalFormatting>
  <conditionalFormatting sqref="E24">
    <cfRule type="expression" dxfId="14" priority="1">
      <formula>ISBLANK(XFD24)=FALSE</formula>
    </cfRule>
  </conditionalFormatting>
  <pageMargins left="0.75" right="0.75" top="1" bottom="1" header="0.5" footer="0.5"/>
  <pageSetup paperSize="9" scale="66" fitToHeight="3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46"/>
  <sheetViews>
    <sheetView zoomScaleNormal="100" workbookViewId="0"/>
  </sheetViews>
  <sheetFormatPr defaultColWidth="9.109375" defaultRowHeight="13.2" x14ac:dyDescent="0.25"/>
  <cols>
    <col min="1" max="1" width="19.6640625" customWidth="1"/>
    <col min="2" max="3" width="10.6640625" customWidth="1"/>
    <col min="4" max="4" width="11.33203125" bestFit="1" customWidth="1"/>
    <col min="5" max="5" width="11.33203125" customWidth="1"/>
    <col min="6" max="12" width="11.44140625" customWidth="1"/>
    <col min="13" max="23" width="10.109375" bestFit="1" customWidth="1"/>
  </cols>
  <sheetData>
    <row r="1" spans="1:23" ht="13.8" thickBot="1" x14ac:dyDescent="0.3">
      <c r="A1" s="34" t="s">
        <v>90</v>
      </c>
      <c r="B1" s="119" t="s">
        <v>170</v>
      </c>
      <c r="C1" s="44" t="s">
        <v>171</v>
      </c>
      <c r="D1" s="67" t="s">
        <v>168</v>
      </c>
      <c r="E1" s="91">
        <v>45778</v>
      </c>
      <c r="F1" s="97">
        <v>45413</v>
      </c>
      <c r="G1" s="97">
        <v>45047</v>
      </c>
      <c r="H1" s="97">
        <v>44682</v>
      </c>
      <c r="I1" s="97">
        <v>44317</v>
      </c>
      <c r="J1" s="97">
        <v>43952</v>
      </c>
      <c r="K1" s="97">
        <v>43586</v>
      </c>
      <c r="L1" s="97">
        <v>43221</v>
      </c>
      <c r="M1" s="20">
        <v>42856</v>
      </c>
      <c r="N1" s="20">
        <v>42491</v>
      </c>
      <c r="O1" s="20">
        <v>42125</v>
      </c>
      <c r="P1" s="20">
        <v>41760</v>
      </c>
      <c r="Q1" s="20">
        <v>41395</v>
      </c>
      <c r="R1" s="20">
        <v>41030</v>
      </c>
      <c r="S1" s="20">
        <v>40664</v>
      </c>
      <c r="T1" s="20">
        <v>40299</v>
      </c>
      <c r="U1" s="20">
        <v>39934</v>
      </c>
      <c r="V1" s="20">
        <v>39569</v>
      </c>
      <c r="W1" s="21">
        <v>39203</v>
      </c>
    </row>
    <row r="2" spans="1:23" x14ac:dyDescent="0.25">
      <c r="A2" s="16" t="s">
        <v>20</v>
      </c>
      <c r="B2" s="124" t="str">
        <f t="shared" ref="B2:B20" si="0">IFERROR(((E2-F2)/F2),"")</f>
        <v/>
      </c>
      <c r="C2" s="102">
        <v>0</v>
      </c>
      <c r="D2" s="1">
        <v>0</v>
      </c>
      <c r="E2" s="92"/>
      <c r="F2" s="1"/>
      <c r="G2" s="1"/>
      <c r="H2" s="1"/>
      <c r="I2" s="1"/>
      <c r="J2" s="1"/>
      <c r="K2" s="1"/>
      <c r="L2" s="1">
        <v>0</v>
      </c>
      <c r="M2" s="1">
        <v>0</v>
      </c>
      <c r="N2" s="1">
        <v>0</v>
      </c>
      <c r="O2" s="1">
        <v>0</v>
      </c>
      <c r="P2" s="1"/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24">
        <v>112</v>
      </c>
    </row>
    <row r="3" spans="1:23" x14ac:dyDescent="0.25">
      <c r="A3" s="16" t="s">
        <v>11</v>
      </c>
      <c r="B3" s="124">
        <f t="shared" si="0"/>
        <v>-0.34051587899590874</v>
      </c>
      <c r="C3" s="102">
        <v>-5320.1980000000003</v>
      </c>
      <c r="D3" s="1">
        <v>-3927.2810000000009</v>
      </c>
      <c r="E3" s="92">
        <v>9794</v>
      </c>
      <c r="F3" s="1">
        <v>14851.001999999999</v>
      </c>
      <c r="G3" s="1">
        <v>12947.32</v>
      </c>
      <c r="H3" s="1">
        <v>20883.628000000001</v>
      </c>
      <c r="I3" s="1">
        <v>18844.03</v>
      </c>
      <c r="J3" s="1">
        <v>20048.300000000003</v>
      </c>
      <c r="K3" s="1">
        <v>29261.200000000001</v>
      </c>
      <c r="L3" s="1">
        <v>7735.4</v>
      </c>
      <c r="M3" s="1">
        <v>22696.799999999999</v>
      </c>
      <c r="N3" s="1">
        <v>19631.7</v>
      </c>
      <c r="O3" s="1">
        <v>20398</v>
      </c>
      <c r="P3" s="1">
        <v>24962</v>
      </c>
      <c r="Q3" s="1">
        <v>10309</v>
      </c>
      <c r="R3" s="1">
        <v>23796</v>
      </c>
      <c r="S3" s="1">
        <v>22640</v>
      </c>
      <c r="T3" s="1">
        <v>25947.200000000001</v>
      </c>
      <c r="U3" s="1">
        <v>14388</v>
      </c>
      <c r="V3" s="1">
        <v>10496</v>
      </c>
      <c r="W3" s="24">
        <v>9809.5</v>
      </c>
    </row>
    <row r="4" spans="1:23" ht="12.75" customHeight="1" x14ac:dyDescent="0.3">
      <c r="A4" s="16" t="s">
        <v>59</v>
      </c>
      <c r="B4" s="124">
        <f t="shared" si="0"/>
        <v>1.8551916769123433E-2</v>
      </c>
      <c r="C4" s="102">
        <v>-19803.178</v>
      </c>
      <c r="D4" s="1">
        <v>-18447.127999999997</v>
      </c>
      <c r="E4" s="92">
        <v>35495.31</v>
      </c>
      <c r="F4" s="1">
        <v>34848.798000000003</v>
      </c>
      <c r="G4" s="1">
        <v>33085.659</v>
      </c>
      <c r="H4" s="1">
        <v>16934.3</v>
      </c>
      <c r="I4" s="1">
        <v>17157.82</v>
      </c>
      <c r="J4" s="1">
        <v>7598.5</v>
      </c>
      <c r="K4" s="1">
        <v>13549.51</v>
      </c>
      <c r="L4" s="1">
        <v>5319.6</v>
      </c>
      <c r="M4" s="1">
        <v>14167.4</v>
      </c>
      <c r="N4" s="1">
        <v>7146</v>
      </c>
      <c r="O4" s="1">
        <v>20866</v>
      </c>
      <c r="P4" s="1">
        <v>5378</v>
      </c>
      <c r="Q4" s="1">
        <v>610</v>
      </c>
      <c r="R4" s="1">
        <v>11153</v>
      </c>
      <c r="S4" s="1">
        <v>2999</v>
      </c>
      <c r="T4" s="84"/>
      <c r="U4" s="84"/>
      <c r="V4" s="84"/>
      <c r="W4" s="64"/>
    </row>
    <row r="5" spans="1:23" x14ac:dyDescent="0.25">
      <c r="A5" s="16" t="s">
        <v>2</v>
      </c>
      <c r="B5" s="124" t="str">
        <f t="shared" si="0"/>
        <v/>
      </c>
      <c r="C5" s="102">
        <v>0</v>
      </c>
      <c r="D5" s="1">
        <v>0</v>
      </c>
      <c r="E5" s="92"/>
      <c r="F5" s="1"/>
      <c r="G5" s="1"/>
      <c r="H5" s="1"/>
      <c r="I5" s="1"/>
      <c r="J5" s="1"/>
      <c r="K5" s="1">
        <v>0</v>
      </c>
      <c r="L5" s="1">
        <v>0</v>
      </c>
      <c r="M5" s="1">
        <v>0</v>
      </c>
      <c r="N5" s="1">
        <v>2</v>
      </c>
      <c r="O5" s="1">
        <v>0</v>
      </c>
      <c r="P5" s="1">
        <v>2</v>
      </c>
      <c r="Q5" s="1">
        <v>0</v>
      </c>
      <c r="R5" s="1">
        <v>0</v>
      </c>
      <c r="S5" s="1">
        <v>0</v>
      </c>
      <c r="T5" s="1">
        <v>6</v>
      </c>
      <c r="U5" s="1">
        <v>0</v>
      </c>
      <c r="V5" s="1">
        <v>0</v>
      </c>
      <c r="W5" s="24">
        <v>0</v>
      </c>
    </row>
    <row r="6" spans="1:23" x14ac:dyDescent="0.25">
      <c r="A6" s="16" t="s">
        <v>12</v>
      </c>
      <c r="B6" s="124">
        <f t="shared" si="0"/>
        <v>3.2984639954652839E-2</v>
      </c>
      <c r="C6" s="102">
        <v>-16002.626055744004</v>
      </c>
      <c r="D6" s="1">
        <v>-16034.47090223604</v>
      </c>
      <c r="E6" s="92">
        <v>17809.508342225228</v>
      </c>
      <c r="F6" s="1">
        <v>17240.82590715681</v>
      </c>
      <c r="G6" s="1">
        <v>16296.721301688411</v>
      </c>
      <c r="H6" s="1">
        <v>25864.151591515936</v>
      </c>
      <c r="I6" s="1">
        <v>28002.93</v>
      </c>
      <c r="J6" s="1">
        <v>20075.96</v>
      </c>
      <c r="K6" s="1">
        <v>37431.589999999997</v>
      </c>
      <c r="L6" s="1">
        <v>16823.599999999999</v>
      </c>
      <c r="M6" s="1">
        <v>23657.17</v>
      </c>
      <c r="N6" s="1">
        <v>39140</v>
      </c>
      <c r="O6" s="1">
        <v>26389</v>
      </c>
      <c r="P6" s="1">
        <v>36471</v>
      </c>
      <c r="Q6" s="1">
        <v>11880</v>
      </c>
      <c r="R6" s="1">
        <v>21516</v>
      </c>
      <c r="S6" s="1">
        <v>31444</v>
      </c>
      <c r="T6" s="1">
        <v>19263.919999999998</v>
      </c>
      <c r="U6" s="1">
        <v>14851.6</v>
      </c>
      <c r="V6" s="1">
        <v>14080.7</v>
      </c>
      <c r="W6" s="24">
        <v>11291.9</v>
      </c>
    </row>
    <row r="7" spans="1:23" x14ac:dyDescent="0.25">
      <c r="A7" s="16" t="s">
        <v>9</v>
      </c>
      <c r="B7" s="124">
        <f t="shared" si="0"/>
        <v>0.54391175763870148</v>
      </c>
      <c r="C7" s="102">
        <v>-6698.9116988299993</v>
      </c>
      <c r="D7" s="1">
        <v>-14648.762750596552</v>
      </c>
      <c r="E7" s="92">
        <v>6778.7530000000006</v>
      </c>
      <c r="F7" s="1">
        <v>4390.6350000000002</v>
      </c>
      <c r="G7" s="1">
        <v>2539.0013000910376</v>
      </c>
      <c r="H7" s="1">
        <v>6227.4536484007322</v>
      </c>
      <c r="I7" s="1">
        <v>1244.8000000000002</v>
      </c>
      <c r="J7" s="1">
        <v>1559.8700000000001</v>
      </c>
      <c r="K7" s="1">
        <v>768.3</v>
      </c>
      <c r="L7" s="1">
        <v>80</v>
      </c>
      <c r="M7" s="1">
        <v>1752.6</v>
      </c>
      <c r="N7" s="1">
        <v>21</v>
      </c>
      <c r="O7" s="1">
        <v>1865</v>
      </c>
      <c r="P7" s="1">
        <v>731</v>
      </c>
      <c r="Q7" s="1">
        <v>1</v>
      </c>
      <c r="R7" s="1">
        <v>142</v>
      </c>
      <c r="S7" s="1">
        <v>626</v>
      </c>
      <c r="T7" s="1">
        <v>118</v>
      </c>
      <c r="U7" s="1">
        <v>271</v>
      </c>
      <c r="V7" s="1">
        <v>76</v>
      </c>
      <c r="W7" s="24">
        <v>47.4</v>
      </c>
    </row>
    <row r="8" spans="1:23" x14ac:dyDescent="0.25">
      <c r="A8" s="16" t="s">
        <v>14</v>
      </c>
      <c r="B8" s="124" t="str">
        <f t="shared" si="0"/>
        <v/>
      </c>
      <c r="C8" s="102">
        <v>0</v>
      </c>
      <c r="D8" s="1">
        <v>0</v>
      </c>
      <c r="E8" s="92"/>
      <c r="F8" s="1"/>
      <c r="G8" s="1"/>
      <c r="H8" s="1"/>
      <c r="I8" s="1"/>
      <c r="J8" s="1"/>
      <c r="K8" s="1">
        <v>5</v>
      </c>
      <c r="L8" s="1">
        <v>0</v>
      </c>
      <c r="M8" s="1">
        <v>0</v>
      </c>
      <c r="N8" s="1">
        <v>3</v>
      </c>
      <c r="O8" s="1">
        <v>5</v>
      </c>
      <c r="P8" s="1">
        <v>11</v>
      </c>
      <c r="Q8" s="1"/>
      <c r="R8" s="1">
        <v>34</v>
      </c>
      <c r="S8" s="1">
        <v>0</v>
      </c>
      <c r="T8" s="1">
        <v>52.97</v>
      </c>
      <c r="U8" s="1">
        <v>119.5</v>
      </c>
      <c r="V8" s="1">
        <v>67</v>
      </c>
      <c r="W8" s="24">
        <v>53.5</v>
      </c>
    </row>
    <row r="9" spans="1:23" x14ac:dyDescent="0.25">
      <c r="A9" s="16" t="s">
        <v>3</v>
      </c>
      <c r="B9" s="124">
        <f t="shared" si="0"/>
        <v>-0.16861896445475646</v>
      </c>
      <c r="C9" s="102">
        <v>-62100.002256134117</v>
      </c>
      <c r="D9" s="1">
        <v>-64402.268917629204</v>
      </c>
      <c r="E9" s="92">
        <v>194238.0199362048</v>
      </c>
      <c r="F9" s="1">
        <v>233632.9692784223</v>
      </c>
      <c r="G9" s="1">
        <v>163262.87594485714</v>
      </c>
      <c r="H9" s="1">
        <v>252359.22355690954</v>
      </c>
      <c r="I9" s="1">
        <v>215248.83</v>
      </c>
      <c r="J9" s="1">
        <v>226647.88999999998</v>
      </c>
      <c r="K9" s="1">
        <v>293641.64</v>
      </c>
      <c r="L9" s="1">
        <v>100345.62999999999</v>
      </c>
      <c r="M9" s="68">
        <v>301221.64</v>
      </c>
      <c r="N9" s="68">
        <v>289925</v>
      </c>
      <c r="O9" s="68">
        <v>289944</v>
      </c>
      <c r="P9" s="68">
        <v>248468</v>
      </c>
      <c r="Q9" s="68">
        <v>215551</v>
      </c>
      <c r="R9" s="68">
        <v>260035</v>
      </c>
      <c r="S9" s="68">
        <v>250206</v>
      </c>
      <c r="T9" s="68">
        <v>251278.64</v>
      </c>
      <c r="U9" s="68">
        <v>290527.59999999998</v>
      </c>
      <c r="V9" s="1">
        <v>206693.7</v>
      </c>
      <c r="W9" s="24">
        <v>222731.6</v>
      </c>
    </row>
    <row r="10" spans="1:23" x14ac:dyDescent="0.25">
      <c r="A10" s="16" t="s">
        <v>17</v>
      </c>
      <c r="B10" s="124">
        <f t="shared" si="0"/>
        <v>1.15590182954757</v>
      </c>
      <c r="C10" s="102">
        <v>-16840.813043061891</v>
      </c>
      <c r="D10" s="1">
        <v>-10036.947977973621</v>
      </c>
      <c r="E10" s="92">
        <v>39257.556002895486</v>
      </c>
      <c r="F10" s="1">
        <v>18209.34305303407</v>
      </c>
      <c r="G10" s="1">
        <v>27947.388164105894</v>
      </c>
      <c r="H10" s="1">
        <v>19654.940162107519</v>
      </c>
      <c r="I10" s="1">
        <v>34087.770000000004</v>
      </c>
      <c r="J10" s="1">
        <v>17590.8</v>
      </c>
      <c r="K10" s="1">
        <v>28026.85</v>
      </c>
      <c r="L10" s="1">
        <v>27370.799999999999</v>
      </c>
      <c r="M10" s="68">
        <v>22537.264999999999</v>
      </c>
      <c r="N10" s="68">
        <v>32256.174999999999</v>
      </c>
      <c r="O10" s="68">
        <v>25117</v>
      </c>
      <c r="P10" s="68">
        <v>22884</v>
      </c>
      <c r="Q10" s="68">
        <v>5994</v>
      </c>
      <c r="R10" s="68">
        <v>17381</v>
      </c>
      <c r="S10" s="68">
        <v>12774</v>
      </c>
      <c r="T10" s="68">
        <v>8648.0400000000009</v>
      </c>
      <c r="U10" s="68">
        <v>10379</v>
      </c>
      <c r="V10" s="1">
        <v>1770</v>
      </c>
      <c r="W10" s="24">
        <v>4104.8999999999996</v>
      </c>
    </row>
    <row r="11" spans="1:23" x14ac:dyDescent="0.25">
      <c r="A11" s="16" t="s">
        <v>10</v>
      </c>
      <c r="B11" s="124" t="str">
        <f t="shared" si="0"/>
        <v/>
      </c>
      <c r="C11" s="102">
        <v>0</v>
      </c>
      <c r="D11" s="1">
        <v>0</v>
      </c>
      <c r="E11" s="92"/>
      <c r="F11" s="1"/>
      <c r="G11" s="1"/>
      <c r="H11" s="1"/>
      <c r="I11" s="1"/>
      <c r="J11" s="1"/>
      <c r="K11" s="1">
        <v>40</v>
      </c>
      <c r="L11" s="1">
        <v>313</v>
      </c>
      <c r="M11" s="68">
        <v>517</v>
      </c>
      <c r="N11" s="68">
        <v>792.6</v>
      </c>
      <c r="O11" s="68">
        <v>450</v>
      </c>
      <c r="P11" s="68">
        <v>2018</v>
      </c>
      <c r="Q11" s="68">
        <v>1720</v>
      </c>
      <c r="R11" s="68">
        <v>1929</v>
      </c>
      <c r="S11" s="68">
        <v>438</v>
      </c>
      <c r="T11" s="68">
        <v>2634.06</v>
      </c>
      <c r="U11" s="68">
        <v>2993</v>
      </c>
      <c r="V11" s="1">
        <v>2465</v>
      </c>
      <c r="W11" s="24">
        <v>2680.8</v>
      </c>
    </row>
    <row r="12" spans="1:23" x14ac:dyDescent="0.25">
      <c r="A12" s="16" t="s">
        <v>26</v>
      </c>
      <c r="B12" s="124">
        <f t="shared" si="0"/>
        <v>-8.7254063301967499E-2</v>
      </c>
      <c r="C12" s="102">
        <v>-42.799999999999955</v>
      </c>
      <c r="D12" s="1">
        <v>-174</v>
      </c>
      <c r="E12" s="92">
        <v>1067</v>
      </c>
      <c r="F12" s="1">
        <v>1169</v>
      </c>
      <c r="G12" s="1">
        <v>1586.7</v>
      </c>
      <c r="H12" s="1">
        <v>3375.3</v>
      </c>
      <c r="I12" s="1">
        <v>1813.81</v>
      </c>
      <c r="J12" s="1">
        <v>3547.1</v>
      </c>
      <c r="K12" s="1">
        <v>4408.5</v>
      </c>
      <c r="L12" s="1">
        <v>2620</v>
      </c>
      <c r="M12" s="68">
        <v>3525</v>
      </c>
      <c r="N12" s="68">
        <v>6764.5</v>
      </c>
      <c r="O12" s="68">
        <v>6312</v>
      </c>
      <c r="P12" s="68">
        <v>8958</v>
      </c>
      <c r="Q12" s="68">
        <v>5139</v>
      </c>
      <c r="R12" s="68">
        <v>8337</v>
      </c>
      <c r="S12" s="68">
        <v>834</v>
      </c>
      <c r="T12" s="68">
        <v>10835.89</v>
      </c>
      <c r="U12" s="68">
        <v>11587</v>
      </c>
      <c r="V12" s="1">
        <v>9596</v>
      </c>
      <c r="W12" s="24">
        <v>8381.6</v>
      </c>
    </row>
    <row r="13" spans="1:23" x14ac:dyDescent="0.25">
      <c r="A13" s="16" t="s">
        <v>48</v>
      </c>
      <c r="B13" s="124" t="str">
        <f t="shared" si="0"/>
        <v/>
      </c>
      <c r="C13" s="102">
        <v>0</v>
      </c>
      <c r="D13" s="1">
        <v>0</v>
      </c>
      <c r="E13" s="92"/>
      <c r="F13" s="1"/>
      <c r="G13" s="1"/>
      <c r="H13" s="1"/>
      <c r="I13" s="1"/>
      <c r="J13" s="1"/>
      <c r="K13" s="1">
        <v>0</v>
      </c>
      <c r="L13" s="1">
        <v>0</v>
      </c>
      <c r="M13" s="68">
        <v>0</v>
      </c>
      <c r="N13" s="68">
        <v>0</v>
      </c>
      <c r="O13" s="68">
        <v>5</v>
      </c>
      <c r="P13" s="68"/>
      <c r="Q13" s="68">
        <v>0</v>
      </c>
      <c r="R13" s="68">
        <v>0</v>
      </c>
      <c r="S13" s="68">
        <v>0</v>
      </c>
      <c r="T13" s="68">
        <v>2</v>
      </c>
      <c r="U13" s="68">
        <v>0</v>
      </c>
      <c r="V13" s="1">
        <v>0</v>
      </c>
      <c r="W13" s="24">
        <v>5</v>
      </c>
    </row>
    <row r="14" spans="1:23" x14ac:dyDescent="0.25">
      <c r="A14" s="16" t="s">
        <v>104</v>
      </c>
      <c r="B14" s="124">
        <f t="shared" si="0"/>
        <v>5.8826118234619916E-3</v>
      </c>
      <c r="C14" s="102">
        <v>-1465.2228571428573</v>
      </c>
      <c r="D14" s="1">
        <v>-1527.7303000000002</v>
      </c>
      <c r="E14" s="92">
        <v>3213.1961428571426</v>
      </c>
      <c r="F14" s="1">
        <v>3194.4047</v>
      </c>
      <c r="G14" s="1">
        <v>3378.0060000000003</v>
      </c>
      <c r="H14" s="1">
        <v>4910.2757020686349</v>
      </c>
      <c r="I14" s="1">
        <v>5959.08</v>
      </c>
      <c r="J14" s="1">
        <v>3246.55</v>
      </c>
      <c r="K14" s="1">
        <v>6402.4100000000008</v>
      </c>
      <c r="L14" s="1">
        <v>928.4</v>
      </c>
      <c r="M14" s="68">
        <v>5637.53</v>
      </c>
      <c r="N14" s="68">
        <v>6947.24</v>
      </c>
      <c r="O14" s="68">
        <v>9321</v>
      </c>
      <c r="P14" s="68">
        <v>7561</v>
      </c>
      <c r="Q14" s="68">
        <v>6315</v>
      </c>
      <c r="R14" s="68">
        <v>4126</v>
      </c>
      <c r="S14" s="68">
        <v>8511</v>
      </c>
      <c r="T14" s="68">
        <v>5431.25</v>
      </c>
      <c r="U14" s="68">
        <v>14997.7</v>
      </c>
      <c r="V14" s="1">
        <v>5872</v>
      </c>
      <c r="W14" s="24">
        <v>11684.1</v>
      </c>
    </row>
    <row r="15" spans="1:23" x14ac:dyDescent="0.25">
      <c r="A15" s="16" t="s">
        <v>13</v>
      </c>
      <c r="B15" s="124">
        <f t="shared" si="0"/>
        <v>8.6553327681433562E-2</v>
      </c>
      <c r="C15" s="102">
        <v>-7250.2000000000007</v>
      </c>
      <c r="D15" s="1">
        <v>-7733.9000000000015</v>
      </c>
      <c r="E15" s="92">
        <v>21659.68</v>
      </c>
      <c r="F15" s="1">
        <v>19934.3</v>
      </c>
      <c r="G15" s="1">
        <v>21165.4</v>
      </c>
      <c r="H15" s="1">
        <v>23886</v>
      </c>
      <c r="I15" s="1">
        <v>22414.699999999997</v>
      </c>
      <c r="J15" s="1">
        <v>13136.699999999999</v>
      </c>
      <c r="K15" s="1">
        <v>17838</v>
      </c>
      <c r="L15" s="1"/>
      <c r="M15" s="68"/>
      <c r="N15" s="68"/>
      <c r="O15" s="68"/>
      <c r="P15" s="68"/>
      <c r="Q15" s="68"/>
      <c r="R15" s="68"/>
      <c r="S15" s="68"/>
      <c r="T15" s="68"/>
      <c r="U15" s="68"/>
      <c r="V15" s="1"/>
      <c r="W15" s="24"/>
    </row>
    <row r="16" spans="1:23" x14ac:dyDescent="0.25">
      <c r="A16" s="16" t="s">
        <v>19</v>
      </c>
      <c r="B16" s="124">
        <f t="shared" si="0"/>
        <v>0.4407100039542946</v>
      </c>
      <c r="C16" s="102">
        <v>-21984.04789147753</v>
      </c>
      <c r="D16" s="1">
        <v>-15279.771204236005</v>
      </c>
      <c r="E16" s="92">
        <v>21543.019956063938</v>
      </c>
      <c r="F16" s="1">
        <v>14953.057795763993</v>
      </c>
      <c r="G16" s="1">
        <v>29156.506920254247</v>
      </c>
      <c r="H16" s="1">
        <v>31589.137105365051</v>
      </c>
      <c r="I16" s="1">
        <v>42299.479999999996</v>
      </c>
      <c r="J16" s="1">
        <v>26034.19</v>
      </c>
      <c r="K16" s="1">
        <v>39512.579999999994</v>
      </c>
      <c r="L16" s="1">
        <v>19788.610000000004</v>
      </c>
      <c r="M16" s="68">
        <v>43288.15</v>
      </c>
      <c r="N16" s="68">
        <v>38903.79</v>
      </c>
      <c r="O16" s="68">
        <v>32559</v>
      </c>
      <c r="P16" s="68">
        <v>38044</v>
      </c>
      <c r="Q16" s="68">
        <v>22448</v>
      </c>
      <c r="R16" s="68">
        <v>24132</v>
      </c>
      <c r="S16" s="68">
        <v>22374</v>
      </c>
      <c r="T16" s="68">
        <v>36049.660000000003</v>
      </c>
      <c r="U16" s="68">
        <v>25369.5</v>
      </c>
      <c r="V16" s="1">
        <v>10959.2</v>
      </c>
      <c r="W16" s="24">
        <v>36157.300000000003</v>
      </c>
    </row>
    <row r="17" spans="1:23" x14ac:dyDescent="0.25">
      <c r="A17" s="16" t="s">
        <v>105</v>
      </c>
      <c r="B17" s="124">
        <f t="shared" si="0"/>
        <v>4.977027333333333</v>
      </c>
      <c r="C17" s="102">
        <v>-2859.7710000000006</v>
      </c>
      <c r="D17" s="1">
        <v>-2609</v>
      </c>
      <c r="E17" s="92">
        <v>8965.5409999999993</v>
      </c>
      <c r="F17" s="1">
        <v>1500</v>
      </c>
      <c r="G17" s="1">
        <v>9414</v>
      </c>
      <c r="H17" s="1">
        <v>2515</v>
      </c>
      <c r="I17" s="1">
        <v>8273</v>
      </c>
      <c r="J17" s="1">
        <v>1501.3</v>
      </c>
      <c r="K17" s="1">
        <v>8542</v>
      </c>
      <c r="L17" s="1">
        <v>0</v>
      </c>
      <c r="M17" s="68">
        <v>5628.3</v>
      </c>
      <c r="N17" s="68">
        <v>5299</v>
      </c>
      <c r="O17" s="68">
        <v>5056</v>
      </c>
      <c r="P17" s="68">
        <v>3287</v>
      </c>
      <c r="Q17" s="68">
        <v>765</v>
      </c>
      <c r="R17" s="68">
        <v>1828</v>
      </c>
      <c r="S17" s="68">
        <v>2135</v>
      </c>
      <c r="T17" s="68">
        <v>1665</v>
      </c>
      <c r="U17" s="68">
        <v>199</v>
      </c>
      <c r="V17" s="1">
        <v>1486</v>
      </c>
      <c r="W17" s="24">
        <v>0</v>
      </c>
    </row>
    <row r="18" spans="1:23" x14ac:dyDescent="0.25">
      <c r="A18" s="16" t="s">
        <v>21</v>
      </c>
      <c r="B18" s="124" t="str">
        <f t="shared" si="0"/>
        <v/>
      </c>
      <c r="C18" s="102">
        <v>0</v>
      </c>
      <c r="D18" s="1">
        <v>0</v>
      </c>
      <c r="E18" s="92"/>
      <c r="F18" s="1"/>
      <c r="G18" s="1"/>
      <c r="H18" s="1"/>
      <c r="I18" s="1"/>
      <c r="J18" s="1"/>
      <c r="K18" s="1">
        <v>400</v>
      </c>
      <c r="L18" s="1">
        <v>245.8</v>
      </c>
      <c r="M18" s="68">
        <v>2989.3</v>
      </c>
      <c r="N18" s="68">
        <v>4465.6000000000004</v>
      </c>
      <c r="O18" s="68">
        <v>3756</v>
      </c>
      <c r="P18" s="68">
        <v>2792</v>
      </c>
      <c r="Q18" s="68">
        <v>42</v>
      </c>
      <c r="R18" s="68">
        <v>3072</v>
      </c>
      <c r="S18" s="68">
        <v>3639</v>
      </c>
      <c r="T18" s="68">
        <v>1223.69</v>
      </c>
      <c r="U18" s="68">
        <v>2334</v>
      </c>
      <c r="V18" s="1">
        <v>211</v>
      </c>
      <c r="W18" s="24">
        <v>3534.3</v>
      </c>
    </row>
    <row r="19" spans="1:23" ht="13.8" thickBot="1" x14ac:dyDescent="0.3">
      <c r="A19" s="18" t="s">
        <v>57</v>
      </c>
      <c r="B19" s="124">
        <f t="shared" si="0"/>
        <v>6.5558948610935724E-2</v>
      </c>
      <c r="C19" s="103">
        <v>-35781.52431936319</v>
      </c>
      <c r="D19" s="9">
        <v>-34790.404004716591</v>
      </c>
      <c r="E19" s="93">
        <f>15188+73675.8480134488</f>
        <v>88863.848013448805</v>
      </c>
      <c r="F19" s="9">
        <v>83396.463545533406</v>
      </c>
      <c r="G19" s="9">
        <v>57532.004400570957</v>
      </c>
      <c r="H19" s="9">
        <v>41520</v>
      </c>
      <c r="I19" s="9">
        <f>4896+15305</f>
        <v>20201</v>
      </c>
      <c r="J19" s="9">
        <f>2459+8933</f>
        <v>11392</v>
      </c>
      <c r="K19" s="9">
        <v>21448.050000000003</v>
      </c>
      <c r="L19" s="9">
        <v>4271.7999999999993</v>
      </c>
      <c r="M19" s="69">
        <v>22992.2</v>
      </c>
      <c r="N19" s="69">
        <v>14523.5</v>
      </c>
      <c r="O19" s="69">
        <v>13667</v>
      </c>
      <c r="P19" s="69">
        <v>10455</v>
      </c>
      <c r="Q19" s="69">
        <v>2563</v>
      </c>
      <c r="R19" s="69">
        <v>6329</v>
      </c>
      <c r="S19" s="69">
        <v>13296</v>
      </c>
      <c r="T19" s="69">
        <v>11584</v>
      </c>
      <c r="U19" s="69">
        <v>6291</v>
      </c>
      <c r="V19" s="9">
        <v>3369</v>
      </c>
      <c r="W19" s="26">
        <v>4856.6000000000004</v>
      </c>
    </row>
    <row r="20" spans="1:23" ht="13.8" thickBot="1" x14ac:dyDescent="0.3">
      <c r="A20" s="27" t="s">
        <v>22</v>
      </c>
      <c r="B20" s="108">
        <f t="shared" si="0"/>
        <v>3.0506811129317859E-3</v>
      </c>
      <c r="C20" s="125">
        <v>-196149.29512175365</v>
      </c>
      <c r="D20" s="29">
        <v>-189611.66505738802</v>
      </c>
      <c r="E20" s="86">
        <f t="shared" ref="E20" si="1">SUM(E2:E19)</f>
        <v>448685.4323936954</v>
      </c>
      <c r="F20" s="29">
        <f t="shared" ref="F20:K20" si="2">SUM(F2:F19)</f>
        <v>447320.79927991063</v>
      </c>
      <c r="G20" s="29">
        <f t="shared" si="2"/>
        <v>378311.58303156769</v>
      </c>
      <c r="H20" s="29">
        <f t="shared" si="2"/>
        <v>449719.4097663674</v>
      </c>
      <c r="I20" s="29">
        <f t="shared" si="2"/>
        <v>415547.25</v>
      </c>
      <c r="J20" s="29">
        <f t="shared" si="2"/>
        <v>352379.16</v>
      </c>
      <c r="K20" s="29">
        <f t="shared" si="2"/>
        <v>501275.62999999995</v>
      </c>
      <c r="L20" s="29">
        <f t="shared" ref="L20:Q20" si="3">SUM(L2:L19)</f>
        <v>185842.63999999996</v>
      </c>
      <c r="M20" s="29">
        <f t="shared" si="3"/>
        <v>470610.35500000004</v>
      </c>
      <c r="N20" s="29">
        <f t="shared" si="3"/>
        <v>465821.10499999992</v>
      </c>
      <c r="O20" s="29">
        <f t="shared" si="3"/>
        <v>455710</v>
      </c>
      <c r="P20" s="29">
        <f t="shared" si="3"/>
        <v>412022</v>
      </c>
      <c r="Q20" s="29">
        <f t="shared" si="3"/>
        <v>283337</v>
      </c>
      <c r="R20" s="29">
        <f t="shared" ref="R20:W20" si="4">SUM(R2:R19)</f>
        <v>383810</v>
      </c>
      <c r="S20" s="29">
        <f t="shared" si="4"/>
        <v>371916</v>
      </c>
      <c r="T20" s="29">
        <f t="shared" si="4"/>
        <v>374740.32</v>
      </c>
      <c r="U20" s="29">
        <f t="shared" si="4"/>
        <v>394307.89999999997</v>
      </c>
      <c r="V20" s="29">
        <f t="shared" si="4"/>
        <v>267141.60000000003</v>
      </c>
      <c r="W20" s="30">
        <f t="shared" si="4"/>
        <v>315450.49999999994</v>
      </c>
    </row>
    <row r="21" spans="1:23" x14ac:dyDescent="0.25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23" ht="13.8" thickBot="1" x14ac:dyDescent="0.3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23" ht="13.8" thickBot="1" x14ac:dyDescent="0.3">
      <c r="A23" s="19" t="s">
        <v>24</v>
      </c>
      <c r="B23" s="119" t="s">
        <v>170</v>
      </c>
      <c r="C23" s="44" t="s">
        <v>171</v>
      </c>
      <c r="D23" s="67" t="s">
        <v>168</v>
      </c>
      <c r="E23" s="91">
        <v>45778</v>
      </c>
      <c r="F23" s="97">
        <v>45413</v>
      </c>
      <c r="G23" s="97">
        <v>45047</v>
      </c>
      <c r="H23" s="97">
        <v>44682</v>
      </c>
      <c r="I23" s="97">
        <v>44317</v>
      </c>
      <c r="J23" s="97">
        <v>43952</v>
      </c>
      <c r="K23" s="97">
        <v>43586</v>
      </c>
      <c r="L23" s="97">
        <v>43221</v>
      </c>
      <c r="M23" s="20">
        <v>42856</v>
      </c>
      <c r="N23" s="20">
        <v>42491</v>
      </c>
      <c r="O23" s="20">
        <v>42125</v>
      </c>
      <c r="P23" s="20">
        <v>41760</v>
      </c>
      <c r="Q23" s="20">
        <v>41395</v>
      </c>
      <c r="R23" s="20">
        <v>41030</v>
      </c>
      <c r="S23" s="20">
        <v>40664</v>
      </c>
      <c r="T23" s="20">
        <v>40299</v>
      </c>
      <c r="U23" s="20">
        <v>39934</v>
      </c>
      <c r="V23" s="20">
        <v>39569</v>
      </c>
      <c r="W23" s="21">
        <v>39203</v>
      </c>
    </row>
    <row r="24" spans="1:23" x14ac:dyDescent="0.25">
      <c r="A24" s="16" t="s">
        <v>102</v>
      </c>
      <c r="B24" s="22" t="str">
        <f t="shared" ref="B24:B29" si="5">IFERROR(((E24-F24)/F24),"")</f>
        <v/>
      </c>
      <c r="C24" s="102">
        <v>-8094.7050741962903</v>
      </c>
      <c r="D24" s="1">
        <v>0</v>
      </c>
      <c r="E24" s="92"/>
      <c r="F24" s="1">
        <v>0</v>
      </c>
      <c r="G24" s="1">
        <v>0</v>
      </c>
      <c r="H24" s="1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6"/>
    </row>
    <row r="25" spans="1:23" x14ac:dyDescent="0.25">
      <c r="A25" s="16" t="s">
        <v>7</v>
      </c>
      <c r="B25" s="22" t="str">
        <f t="shared" si="5"/>
        <v/>
      </c>
      <c r="C25" s="102">
        <v>-2353.4479550988344</v>
      </c>
      <c r="D25" s="1">
        <v>0</v>
      </c>
      <c r="E25" s="92"/>
      <c r="F25" s="1">
        <v>0</v>
      </c>
      <c r="G25" s="1">
        <v>0</v>
      </c>
      <c r="H25" s="1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6"/>
    </row>
    <row r="26" spans="1:23" x14ac:dyDescent="0.25">
      <c r="A26" s="16" t="s">
        <v>103</v>
      </c>
      <c r="B26" s="22" t="str">
        <f t="shared" si="5"/>
        <v/>
      </c>
      <c r="C26" s="102">
        <v>-113.87531805024636</v>
      </c>
      <c r="D26" s="1">
        <v>0</v>
      </c>
      <c r="E26" s="92"/>
      <c r="F26" s="1">
        <v>0</v>
      </c>
      <c r="G26" s="1">
        <v>0</v>
      </c>
      <c r="H26" s="1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6"/>
    </row>
    <row r="27" spans="1:23" x14ac:dyDescent="0.25">
      <c r="A27" s="16" t="s">
        <v>29</v>
      </c>
      <c r="B27" s="22" t="str">
        <f t="shared" si="5"/>
        <v/>
      </c>
      <c r="C27" s="102">
        <v>-1521.302204775508</v>
      </c>
      <c r="D27" s="1">
        <v>0</v>
      </c>
      <c r="E27" s="92"/>
      <c r="F27" s="1">
        <v>0</v>
      </c>
      <c r="G27" s="1">
        <v>0</v>
      </c>
      <c r="H27" s="1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6"/>
    </row>
    <row r="28" spans="1:23" ht="13.8" thickBot="1" x14ac:dyDescent="0.3">
      <c r="A28" s="25" t="s">
        <v>57</v>
      </c>
      <c r="B28" s="23" t="str">
        <f t="shared" si="5"/>
        <v/>
      </c>
      <c r="C28" s="103">
        <v>-2470</v>
      </c>
      <c r="D28" s="9">
        <v>0</v>
      </c>
      <c r="E28" s="93"/>
      <c r="F28" s="9">
        <v>0</v>
      </c>
      <c r="G28" s="9">
        <v>0</v>
      </c>
      <c r="H28" s="9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8"/>
    </row>
    <row r="29" spans="1:23" ht="13.8" thickBot="1" x14ac:dyDescent="0.3">
      <c r="A29" s="27" t="s">
        <v>22</v>
      </c>
      <c r="B29" s="28" t="str">
        <f t="shared" si="5"/>
        <v/>
      </c>
      <c r="C29" s="125">
        <v>-14553.330552120879</v>
      </c>
      <c r="D29" s="29">
        <v>0</v>
      </c>
      <c r="E29" s="86">
        <f>SUM(E24:E28)</f>
        <v>0</v>
      </c>
      <c r="F29" s="29">
        <v>0</v>
      </c>
      <c r="G29" s="29">
        <f>SUM(G24:G28)</f>
        <v>0</v>
      </c>
      <c r="H29" s="2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70"/>
    </row>
    <row r="30" spans="1:23" x14ac:dyDescent="0.25">
      <c r="B30" s="45" t="s">
        <v>167</v>
      </c>
    </row>
    <row r="35" spans="22:24" ht="17.399999999999999" x14ac:dyDescent="0.3">
      <c r="V35" s="5"/>
      <c r="W35" s="1"/>
      <c r="X35" s="1"/>
    </row>
    <row r="36" spans="22:24" ht="17.399999999999999" x14ac:dyDescent="0.3">
      <c r="V36" s="5"/>
      <c r="W36" s="1"/>
      <c r="X36" s="1"/>
    </row>
    <row r="37" spans="22:24" ht="17.399999999999999" x14ac:dyDescent="0.3">
      <c r="V37" s="5"/>
      <c r="W37" s="1"/>
      <c r="X37" s="1"/>
    </row>
    <row r="38" spans="22:24" ht="17.399999999999999" x14ac:dyDescent="0.3">
      <c r="V38" s="5"/>
      <c r="W38" s="1"/>
      <c r="X38" s="1"/>
    </row>
    <row r="39" spans="22:24" ht="17.399999999999999" x14ac:dyDescent="0.3">
      <c r="V39" s="5"/>
      <c r="W39" s="1"/>
      <c r="X39" s="1"/>
    </row>
    <row r="40" spans="22:24" ht="17.399999999999999" x14ac:dyDescent="0.3">
      <c r="V40" s="5"/>
      <c r="W40" s="1"/>
      <c r="X40" s="1"/>
    </row>
    <row r="41" spans="22:24" ht="17.399999999999999" x14ac:dyDescent="0.3">
      <c r="V41" s="5"/>
      <c r="W41" s="1"/>
      <c r="X41" s="1"/>
    </row>
    <row r="42" spans="22:24" ht="17.399999999999999" x14ac:dyDescent="0.3">
      <c r="V42" s="5"/>
      <c r="W42" s="1"/>
      <c r="X42" s="1"/>
    </row>
    <row r="43" spans="22:24" ht="17.399999999999999" x14ac:dyDescent="0.3">
      <c r="V43" s="5"/>
      <c r="W43" s="1"/>
      <c r="X43" s="1"/>
    </row>
    <row r="44" spans="22:24" ht="17.399999999999999" x14ac:dyDescent="0.3">
      <c r="V44" s="5"/>
      <c r="W44" s="1"/>
      <c r="X44" s="1"/>
    </row>
    <row r="45" spans="22:24" ht="17.399999999999999" x14ac:dyDescent="0.3">
      <c r="V45" s="6"/>
      <c r="W45" s="1"/>
      <c r="X45" s="1"/>
    </row>
    <row r="46" spans="22:24" ht="18" x14ac:dyDescent="0.35">
      <c r="V46" s="7"/>
      <c r="W46" s="2"/>
      <c r="X46" s="2"/>
    </row>
  </sheetData>
  <conditionalFormatting sqref="E1">
    <cfRule type="expression" dxfId="13" priority="2">
      <formula>ISBLANK(XFD1)=FALSE</formula>
    </cfRule>
  </conditionalFormatting>
  <conditionalFormatting sqref="E23">
    <cfRule type="expression" dxfId="12" priority="1">
      <formula>ISBLANK(XFD23)=FALSE</formula>
    </cfRule>
  </conditionalFormatting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43"/>
  <sheetViews>
    <sheetView zoomScaleNormal="100" workbookViewId="0"/>
  </sheetViews>
  <sheetFormatPr defaultColWidth="9.109375" defaultRowHeight="13.2" x14ac:dyDescent="0.25"/>
  <cols>
    <col min="1" max="1" width="19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2" width="11.44140625" customWidth="1"/>
    <col min="13" max="23" width="10.109375" bestFit="1" customWidth="1"/>
  </cols>
  <sheetData>
    <row r="1" spans="1:23" ht="13.8" thickBot="1" x14ac:dyDescent="0.3">
      <c r="A1" s="34" t="s">
        <v>90</v>
      </c>
      <c r="B1" s="119" t="s">
        <v>170</v>
      </c>
      <c r="C1" s="44" t="s">
        <v>171</v>
      </c>
      <c r="D1" s="67" t="s">
        <v>168</v>
      </c>
      <c r="E1" s="91">
        <v>45778</v>
      </c>
      <c r="F1" s="97">
        <v>45413</v>
      </c>
      <c r="G1" s="97">
        <v>45047</v>
      </c>
      <c r="H1" s="97">
        <v>44682</v>
      </c>
      <c r="I1" s="97">
        <v>44317</v>
      </c>
      <c r="J1" s="97">
        <v>43952</v>
      </c>
      <c r="K1" s="97">
        <v>43586</v>
      </c>
      <c r="L1" s="97">
        <v>43221</v>
      </c>
      <c r="M1" s="20">
        <v>42856</v>
      </c>
      <c r="N1" s="20">
        <v>42491</v>
      </c>
      <c r="O1" s="20">
        <v>42125</v>
      </c>
      <c r="P1" s="20">
        <v>41760</v>
      </c>
      <c r="Q1" s="20">
        <v>41395</v>
      </c>
      <c r="R1" s="20">
        <v>41030</v>
      </c>
      <c r="S1" s="20">
        <v>40664</v>
      </c>
      <c r="T1" s="20">
        <v>40299</v>
      </c>
      <c r="U1" s="20">
        <v>39934</v>
      </c>
      <c r="V1" s="20">
        <v>39569</v>
      </c>
      <c r="W1" s="21">
        <v>39203</v>
      </c>
    </row>
    <row r="2" spans="1:23" x14ac:dyDescent="0.25">
      <c r="A2" s="35" t="s">
        <v>4</v>
      </c>
      <c r="B2" s="124" t="str">
        <f t="shared" ref="B2:B18" si="0">IFERROR(((E2-F2)/F2),"")</f>
        <v/>
      </c>
      <c r="C2" s="102">
        <v>0</v>
      </c>
      <c r="D2" s="1">
        <v>0</v>
      </c>
      <c r="E2" s="9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>
        <v>0</v>
      </c>
      <c r="U2" s="1">
        <v>0</v>
      </c>
      <c r="V2" s="1">
        <v>0</v>
      </c>
      <c r="W2" s="24">
        <v>0</v>
      </c>
    </row>
    <row r="3" spans="1:23" x14ac:dyDescent="0.25">
      <c r="A3" s="35" t="s">
        <v>32</v>
      </c>
      <c r="B3" s="124" t="str">
        <f t="shared" si="0"/>
        <v/>
      </c>
      <c r="C3" s="102">
        <v>0</v>
      </c>
      <c r="D3" s="1">
        <v>0</v>
      </c>
      <c r="E3" s="9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>
        <v>1000</v>
      </c>
      <c r="U3" s="1">
        <v>500</v>
      </c>
      <c r="V3" s="1">
        <v>0</v>
      </c>
      <c r="W3" s="24">
        <v>3000</v>
      </c>
    </row>
    <row r="4" spans="1:23" x14ac:dyDescent="0.25">
      <c r="A4" s="16" t="s">
        <v>2</v>
      </c>
      <c r="B4" s="124" t="str">
        <f t="shared" si="0"/>
        <v/>
      </c>
      <c r="C4" s="102">
        <v>0</v>
      </c>
      <c r="D4" s="1">
        <v>0</v>
      </c>
      <c r="E4" s="9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>
        <v>1000</v>
      </c>
      <c r="U4" s="1">
        <v>500</v>
      </c>
      <c r="V4" s="1">
        <v>0</v>
      </c>
      <c r="W4" s="24">
        <v>0</v>
      </c>
    </row>
    <row r="5" spans="1:23" x14ac:dyDescent="0.25">
      <c r="A5" s="16" t="s">
        <v>9</v>
      </c>
      <c r="B5" s="124">
        <f t="shared" si="0"/>
        <v>-0.8</v>
      </c>
      <c r="C5" s="102">
        <v>-4000</v>
      </c>
      <c r="D5" s="1">
        <v>-15000</v>
      </c>
      <c r="E5" s="92">
        <v>2000</v>
      </c>
      <c r="F5" s="1">
        <v>10000</v>
      </c>
      <c r="G5" s="1">
        <v>10000</v>
      </c>
      <c r="H5" s="1">
        <v>20000</v>
      </c>
      <c r="I5" s="1">
        <v>5000</v>
      </c>
      <c r="J5" s="1">
        <v>3000</v>
      </c>
      <c r="K5" s="1">
        <v>5000</v>
      </c>
      <c r="L5" s="1">
        <v>5000</v>
      </c>
      <c r="M5" s="1">
        <v>5000</v>
      </c>
      <c r="N5" s="1">
        <v>5000</v>
      </c>
      <c r="O5" s="1">
        <v>5000</v>
      </c>
      <c r="P5" s="1">
        <v>15000</v>
      </c>
      <c r="Q5" s="1">
        <v>2000</v>
      </c>
      <c r="R5" s="1">
        <v>1000</v>
      </c>
      <c r="S5" s="1">
        <v>8000</v>
      </c>
      <c r="T5" s="1">
        <v>15000</v>
      </c>
      <c r="U5" s="1">
        <v>4000</v>
      </c>
      <c r="V5" s="1">
        <v>2000</v>
      </c>
      <c r="W5" s="24">
        <v>5000</v>
      </c>
    </row>
    <row r="6" spans="1:23" x14ac:dyDescent="0.25">
      <c r="A6" s="16" t="s">
        <v>14</v>
      </c>
      <c r="B6" s="124">
        <f t="shared" si="0"/>
        <v>0</v>
      </c>
      <c r="C6" s="102">
        <v>-5000</v>
      </c>
      <c r="D6" s="1">
        <v>-3000</v>
      </c>
      <c r="E6" s="92">
        <v>4000</v>
      </c>
      <c r="F6" s="1">
        <v>4000</v>
      </c>
      <c r="G6" s="1">
        <v>5000</v>
      </c>
      <c r="H6" s="1">
        <v>10000</v>
      </c>
      <c r="I6" s="1">
        <v>35000</v>
      </c>
      <c r="J6" s="1">
        <v>22000</v>
      </c>
      <c r="K6" s="1">
        <v>25000</v>
      </c>
      <c r="L6" s="1">
        <v>25000</v>
      </c>
      <c r="M6" s="1">
        <v>25000</v>
      </c>
      <c r="N6" s="1">
        <v>25000</v>
      </c>
      <c r="O6" s="1">
        <v>20000</v>
      </c>
      <c r="P6" s="1">
        <v>20000</v>
      </c>
      <c r="Q6" s="1">
        <v>15000</v>
      </c>
      <c r="R6" s="1">
        <v>20000</v>
      </c>
      <c r="S6" s="1">
        <v>3000</v>
      </c>
      <c r="T6" s="1">
        <v>1000</v>
      </c>
      <c r="U6" s="1">
        <v>1000</v>
      </c>
      <c r="V6" s="1">
        <v>2000</v>
      </c>
      <c r="W6" s="24">
        <v>6000</v>
      </c>
    </row>
    <row r="7" spans="1:23" x14ac:dyDescent="0.25">
      <c r="A7" s="16" t="s">
        <v>3</v>
      </c>
      <c r="B7" s="124">
        <f t="shared" si="0"/>
        <v>-0.4</v>
      </c>
      <c r="C7" s="102">
        <v>-20000</v>
      </c>
      <c r="D7" s="1">
        <v>-45000</v>
      </c>
      <c r="E7" s="92">
        <v>75000</v>
      </c>
      <c r="F7" s="1">
        <v>125000</v>
      </c>
      <c r="G7" s="1">
        <v>70000</v>
      </c>
      <c r="H7" s="1">
        <v>90000</v>
      </c>
      <c r="I7" s="1">
        <v>50000</v>
      </c>
      <c r="J7" s="1">
        <v>35000</v>
      </c>
      <c r="K7" s="1">
        <v>55000</v>
      </c>
      <c r="L7" s="1">
        <v>50000</v>
      </c>
      <c r="M7" s="68">
        <v>55000</v>
      </c>
      <c r="N7" s="68">
        <v>55000</v>
      </c>
      <c r="O7" s="68">
        <v>50000</v>
      </c>
      <c r="P7" s="68">
        <v>50000</v>
      </c>
      <c r="Q7" s="68">
        <v>30000</v>
      </c>
      <c r="R7" s="68">
        <v>30000</v>
      </c>
      <c r="S7" s="68">
        <v>7000</v>
      </c>
      <c r="T7" s="68">
        <v>25000</v>
      </c>
      <c r="U7" s="68">
        <v>10000</v>
      </c>
      <c r="V7" s="1">
        <v>10000</v>
      </c>
      <c r="W7" s="24">
        <v>15000</v>
      </c>
    </row>
    <row r="8" spans="1:23" x14ac:dyDescent="0.25">
      <c r="A8" s="16" t="s">
        <v>10</v>
      </c>
      <c r="B8" s="124">
        <f t="shared" si="0"/>
        <v>-9.0909090909090912E-2</v>
      </c>
      <c r="C8" s="102">
        <v>-30000</v>
      </c>
      <c r="D8" s="1">
        <v>-30000</v>
      </c>
      <c r="E8" s="92">
        <v>50000</v>
      </c>
      <c r="F8" s="1">
        <v>55000</v>
      </c>
      <c r="G8" s="1">
        <v>80000</v>
      </c>
      <c r="H8" s="1">
        <v>110000</v>
      </c>
      <c r="I8" s="1">
        <v>110000</v>
      </c>
      <c r="J8" s="1">
        <v>50000</v>
      </c>
      <c r="K8" s="1">
        <v>110000</v>
      </c>
      <c r="L8" s="1">
        <v>60000</v>
      </c>
      <c r="M8" s="68">
        <v>105000</v>
      </c>
      <c r="N8" s="68">
        <v>110000</v>
      </c>
      <c r="O8" s="68">
        <v>70000</v>
      </c>
      <c r="P8" s="68">
        <v>70000</v>
      </c>
      <c r="Q8" s="68">
        <v>55000</v>
      </c>
      <c r="R8" s="68">
        <v>60000</v>
      </c>
      <c r="S8" s="68">
        <v>20000</v>
      </c>
      <c r="T8" s="68">
        <v>46000</v>
      </c>
      <c r="U8" s="68">
        <v>30000</v>
      </c>
      <c r="V8" s="1">
        <v>15000</v>
      </c>
      <c r="W8" s="24">
        <v>30000</v>
      </c>
    </row>
    <row r="9" spans="1:23" x14ac:dyDescent="0.25">
      <c r="A9" s="16" t="s">
        <v>26</v>
      </c>
      <c r="B9" s="124">
        <f t="shared" si="0"/>
        <v>-0.14285714285714285</v>
      </c>
      <c r="C9" s="102">
        <v>-9000</v>
      </c>
      <c r="D9" s="1">
        <v>-8000</v>
      </c>
      <c r="E9" s="92">
        <v>6000</v>
      </c>
      <c r="F9" s="1">
        <v>7000</v>
      </c>
      <c r="G9" s="1">
        <v>15000</v>
      </c>
      <c r="H9" s="1">
        <v>25000</v>
      </c>
      <c r="I9" s="1">
        <v>25000</v>
      </c>
      <c r="J9" s="1">
        <v>5000</v>
      </c>
      <c r="K9" s="1">
        <v>20000</v>
      </c>
      <c r="L9" s="1">
        <v>5000</v>
      </c>
      <c r="M9" s="68">
        <v>25000</v>
      </c>
      <c r="N9" s="68">
        <v>25000</v>
      </c>
      <c r="O9" s="68">
        <v>20000</v>
      </c>
      <c r="P9" s="68">
        <v>25000</v>
      </c>
      <c r="Q9" s="68">
        <v>20000</v>
      </c>
      <c r="R9" s="68">
        <v>20000</v>
      </c>
      <c r="S9" s="68">
        <v>5000</v>
      </c>
      <c r="T9" s="68">
        <v>10000</v>
      </c>
      <c r="U9" s="68">
        <v>2000</v>
      </c>
      <c r="V9" s="1">
        <v>0</v>
      </c>
      <c r="W9" s="24">
        <v>1000</v>
      </c>
    </row>
    <row r="10" spans="1:23" x14ac:dyDescent="0.25">
      <c r="A10" s="16" t="s">
        <v>152</v>
      </c>
      <c r="B10" s="124">
        <f t="shared" si="0"/>
        <v>-0.2</v>
      </c>
      <c r="C10" s="102">
        <v>-12000</v>
      </c>
      <c r="D10" s="1">
        <v>-8000</v>
      </c>
      <c r="E10" s="92">
        <v>8000</v>
      </c>
      <c r="F10" s="1">
        <v>10000</v>
      </c>
      <c r="G10" s="1">
        <v>13000</v>
      </c>
      <c r="H10" s="1">
        <v>35000</v>
      </c>
      <c r="I10" s="1">
        <v>30000</v>
      </c>
      <c r="J10" s="1">
        <v>3000</v>
      </c>
      <c r="K10" s="1">
        <v>35000</v>
      </c>
      <c r="L10" s="1">
        <v>15000</v>
      </c>
      <c r="M10" s="68">
        <v>30000</v>
      </c>
      <c r="N10" s="68">
        <v>35000</v>
      </c>
      <c r="O10" s="68">
        <v>30000</v>
      </c>
      <c r="P10" s="68">
        <v>35000</v>
      </c>
      <c r="Q10" s="68">
        <v>35000</v>
      </c>
      <c r="R10" s="68">
        <v>40000</v>
      </c>
      <c r="S10" s="68"/>
      <c r="T10" s="68">
        <v>0</v>
      </c>
      <c r="U10" s="68">
        <v>0</v>
      </c>
      <c r="V10" s="1">
        <v>0</v>
      </c>
      <c r="W10" s="24">
        <v>0</v>
      </c>
    </row>
    <row r="11" spans="1:23" x14ac:dyDescent="0.25">
      <c r="A11" s="118" t="s">
        <v>33</v>
      </c>
      <c r="B11" s="124" t="str">
        <f t="shared" si="0"/>
        <v/>
      </c>
      <c r="C11" s="102">
        <v>0</v>
      </c>
      <c r="D11" s="1">
        <v>0</v>
      </c>
      <c r="E11" s="92"/>
      <c r="F11" s="1"/>
      <c r="G11" s="1"/>
      <c r="H11" s="1"/>
      <c r="I11" s="1"/>
      <c r="J11" s="1"/>
      <c r="K11" s="1"/>
      <c r="L11" s="1"/>
      <c r="M11" s="68"/>
      <c r="N11" s="68"/>
      <c r="O11" s="68"/>
      <c r="P11" s="68"/>
      <c r="Q11" s="68"/>
      <c r="R11" s="68"/>
      <c r="S11" s="68">
        <v>3000</v>
      </c>
      <c r="T11" s="68">
        <v>10000</v>
      </c>
      <c r="U11" s="68">
        <v>3000</v>
      </c>
      <c r="V11" s="1">
        <v>0</v>
      </c>
      <c r="W11" s="24">
        <v>3000</v>
      </c>
    </row>
    <row r="12" spans="1:23" x14ac:dyDescent="0.25">
      <c r="A12" s="118" t="s">
        <v>13</v>
      </c>
      <c r="B12" s="124">
        <f t="shared" si="0"/>
        <v>-0.7142857142857143</v>
      </c>
      <c r="C12" s="102">
        <v>-2000</v>
      </c>
      <c r="D12" s="1">
        <v>-13000</v>
      </c>
      <c r="E12" s="92">
        <v>2000</v>
      </c>
      <c r="F12" s="1">
        <v>7000</v>
      </c>
      <c r="G12" s="1">
        <v>10000</v>
      </c>
      <c r="H12" s="1">
        <v>5000</v>
      </c>
      <c r="I12" s="1"/>
      <c r="J12" s="1">
        <v>0</v>
      </c>
      <c r="K12" s="1"/>
      <c r="L12" s="1"/>
      <c r="M12" s="68"/>
      <c r="N12" s="68"/>
      <c r="O12" s="68"/>
      <c r="P12" s="68"/>
      <c r="Q12" s="68"/>
      <c r="R12" s="68"/>
      <c r="S12" s="68"/>
      <c r="T12" s="68">
        <v>0</v>
      </c>
      <c r="U12" s="68">
        <v>0</v>
      </c>
      <c r="V12" s="1">
        <v>0</v>
      </c>
      <c r="W12" s="24">
        <v>0</v>
      </c>
    </row>
    <row r="13" spans="1:23" x14ac:dyDescent="0.25">
      <c r="A13" s="118" t="s">
        <v>19</v>
      </c>
      <c r="B13" s="124">
        <f t="shared" si="0"/>
        <v>-0.6</v>
      </c>
      <c r="C13" s="102">
        <v>-3000</v>
      </c>
      <c r="D13" s="1">
        <v>-5000</v>
      </c>
      <c r="E13" s="92">
        <v>2000</v>
      </c>
      <c r="F13" s="1">
        <v>5000</v>
      </c>
      <c r="G13" s="1">
        <v>5000</v>
      </c>
      <c r="H13" s="1">
        <v>3000</v>
      </c>
      <c r="I13" s="1">
        <v>3000</v>
      </c>
      <c r="J13" s="1"/>
      <c r="K13" s="1"/>
      <c r="L13" s="1"/>
      <c r="M13" s="68"/>
      <c r="N13" s="68"/>
      <c r="O13" s="68"/>
      <c r="P13" s="68"/>
      <c r="Q13" s="68"/>
      <c r="R13" s="68"/>
      <c r="S13" s="68"/>
      <c r="T13" s="68">
        <v>1000</v>
      </c>
      <c r="U13" s="68">
        <v>1000</v>
      </c>
      <c r="V13" s="1">
        <v>0</v>
      </c>
      <c r="W13" s="24">
        <v>0</v>
      </c>
    </row>
    <row r="14" spans="1:23" x14ac:dyDescent="0.25">
      <c r="A14" s="118" t="s">
        <v>132</v>
      </c>
      <c r="B14" s="124">
        <f t="shared" si="0"/>
        <v>-9.0909090909090912E-2</v>
      </c>
      <c r="C14" s="102">
        <v>-25000</v>
      </c>
      <c r="D14" s="1">
        <v>-35000</v>
      </c>
      <c r="E14" s="92">
        <v>50000</v>
      </c>
      <c r="F14" s="1">
        <v>55000</v>
      </c>
      <c r="G14" s="1">
        <v>90000</v>
      </c>
      <c r="H14" s="1">
        <v>70000</v>
      </c>
      <c r="I14" s="1">
        <v>35000</v>
      </c>
      <c r="J14" s="1">
        <v>20000</v>
      </c>
      <c r="K14" s="1">
        <v>15000</v>
      </c>
      <c r="L14" s="1"/>
      <c r="M14" s="68"/>
      <c r="N14" s="68"/>
      <c r="O14" s="68"/>
      <c r="P14" s="68"/>
      <c r="Q14" s="68"/>
      <c r="R14" s="68"/>
      <c r="S14" s="68"/>
      <c r="T14" s="68"/>
      <c r="U14" s="68"/>
      <c r="V14" s="1"/>
      <c r="W14" s="24"/>
    </row>
    <row r="15" spans="1:23" x14ac:dyDescent="0.25">
      <c r="A15" s="118" t="s">
        <v>88</v>
      </c>
      <c r="B15" s="124">
        <f t="shared" si="0"/>
        <v>-0.25</v>
      </c>
      <c r="C15" s="102">
        <v>-20000</v>
      </c>
      <c r="D15" s="1">
        <v>-15000</v>
      </c>
      <c r="E15" s="92">
        <v>15000</v>
      </c>
      <c r="F15" s="1">
        <v>20000</v>
      </c>
      <c r="G15" s="1">
        <v>25000</v>
      </c>
      <c r="H15" s="1">
        <v>40000</v>
      </c>
      <c r="I15" s="1">
        <v>35000</v>
      </c>
      <c r="J15" s="1">
        <v>15000</v>
      </c>
      <c r="K15" s="1">
        <v>70000</v>
      </c>
      <c r="L15" s="1">
        <v>15000</v>
      </c>
      <c r="M15" s="68">
        <v>25000</v>
      </c>
      <c r="N15" s="68">
        <v>30000</v>
      </c>
      <c r="O15" s="68">
        <v>35000</v>
      </c>
      <c r="P15" s="68">
        <v>40000</v>
      </c>
      <c r="Q15" s="68">
        <v>20000</v>
      </c>
      <c r="R15" s="68">
        <v>20000</v>
      </c>
      <c r="S15" s="68">
        <v>5000</v>
      </c>
      <c r="T15" s="68">
        <v>5000</v>
      </c>
      <c r="U15" s="68">
        <v>5000</v>
      </c>
      <c r="V15" s="1">
        <v>0</v>
      </c>
      <c r="W15" s="24">
        <v>4000</v>
      </c>
    </row>
    <row r="16" spans="1:23" x14ac:dyDescent="0.25">
      <c r="A16" s="118" t="s">
        <v>34</v>
      </c>
      <c r="B16" s="124" t="str">
        <f t="shared" si="0"/>
        <v/>
      </c>
      <c r="C16" s="102">
        <v>0</v>
      </c>
      <c r="D16" s="1">
        <v>0</v>
      </c>
      <c r="E16" s="92"/>
      <c r="F16" s="1"/>
      <c r="G16" s="1"/>
      <c r="H16" s="1"/>
      <c r="I16" s="1"/>
      <c r="J16" s="1"/>
      <c r="K16" s="1"/>
      <c r="L16" s="1"/>
      <c r="M16" s="68"/>
      <c r="N16" s="68"/>
      <c r="O16" s="68"/>
      <c r="P16" s="68"/>
      <c r="Q16" s="68"/>
      <c r="R16" s="68"/>
      <c r="S16" s="68"/>
      <c r="T16" s="68">
        <v>0</v>
      </c>
      <c r="U16" s="68">
        <v>0</v>
      </c>
      <c r="V16" s="1">
        <v>0</v>
      </c>
      <c r="W16" s="24">
        <v>0</v>
      </c>
    </row>
    <row r="17" spans="1:24" ht="13.8" thickBot="1" x14ac:dyDescent="0.3">
      <c r="A17" s="17" t="s">
        <v>57</v>
      </c>
      <c r="B17" s="124">
        <f t="shared" si="0"/>
        <v>-0.2</v>
      </c>
      <c r="C17" s="102">
        <v>-23000</v>
      </c>
      <c r="D17" s="1">
        <v>-15000</v>
      </c>
      <c r="E17" s="92">
        <v>12000</v>
      </c>
      <c r="F17" s="9">
        <v>15000</v>
      </c>
      <c r="G17" s="9">
        <v>10000</v>
      </c>
      <c r="H17" s="9">
        <v>10000</v>
      </c>
      <c r="I17" s="9">
        <v>70000</v>
      </c>
      <c r="J17" s="9">
        <v>10000</v>
      </c>
      <c r="K17" s="9">
        <v>70000</v>
      </c>
      <c r="L17" s="9">
        <v>2000</v>
      </c>
      <c r="M17" s="9">
        <v>30000</v>
      </c>
      <c r="N17" s="69">
        <v>40000</v>
      </c>
      <c r="O17" s="69">
        <v>20000</v>
      </c>
      <c r="P17" s="69">
        <v>20000</v>
      </c>
      <c r="Q17" s="69">
        <v>7000</v>
      </c>
      <c r="R17" s="69">
        <v>5000</v>
      </c>
      <c r="S17" s="69">
        <v>4000</v>
      </c>
      <c r="T17" s="69">
        <v>5000</v>
      </c>
      <c r="U17" s="69">
        <v>3000</v>
      </c>
      <c r="V17" s="9">
        <v>11000</v>
      </c>
      <c r="W17" s="26">
        <v>3000</v>
      </c>
    </row>
    <row r="18" spans="1:24" s="8" customFormat="1" ht="13.8" thickBot="1" x14ac:dyDescent="0.3">
      <c r="A18" s="19" t="s">
        <v>22</v>
      </c>
      <c r="B18" s="108">
        <f t="shared" si="0"/>
        <v>-0.27795527156549521</v>
      </c>
      <c r="C18" s="109">
        <v>-153000</v>
      </c>
      <c r="D18" s="41">
        <v>-192000</v>
      </c>
      <c r="E18" s="40">
        <f t="shared" ref="E18" si="1">SUM(E2:E17)</f>
        <v>226000</v>
      </c>
      <c r="F18" s="29">
        <f>SUM(F2:F17)</f>
        <v>313000</v>
      </c>
      <c r="G18" s="29">
        <f>SUM(G2:G17)</f>
        <v>333000</v>
      </c>
      <c r="H18" s="29">
        <f>SUM(H2:H17)</f>
        <v>418000</v>
      </c>
      <c r="I18" s="29">
        <f>SUM(I2:I17)</f>
        <v>398000</v>
      </c>
      <c r="J18" s="29">
        <v>163000</v>
      </c>
      <c r="K18" s="29">
        <f>SUM(K2:K17)</f>
        <v>405000</v>
      </c>
      <c r="L18" s="29">
        <v>177000</v>
      </c>
      <c r="M18" s="29">
        <f>SUM(M2:M17)</f>
        <v>300000</v>
      </c>
      <c r="N18" s="29">
        <f>SUM(N2:N17)</f>
        <v>325000</v>
      </c>
      <c r="O18" s="29">
        <f>SUM(O2:O17)</f>
        <v>250000</v>
      </c>
      <c r="P18" s="29">
        <f>SUM(P2:P17)</f>
        <v>275000</v>
      </c>
      <c r="Q18" s="29">
        <f>SUM(Q2:Q17)</f>
        <v>184000</v>
      </c>
      <c r="R18" s="29">
        <f t="shared" ref="R18:W18" si="2">SUM(R2:R17)</f>
        <v>196000</v>
      </c>
      <c r="S18" s="29">
        <f t="shared" si="2"/>
        <v>55000</v>
      </c>
      <c r="T18" s="29">
        <f t="shared" si="2"/>
        <v>120000</v>
      </c>
      <c r="U18" s="29">
        <f t="shared" si="2"/>
        <v>60000</v>
      </c>
      <c r="V18" s="29">
        <f t="shared" si="2"/>
        <v>40000</v>
      </c>
      <c r="W18" s="30">
        <f t="shared" si="2"/>
        <v>70000</v>
      </c>
    </row>
    <row r="19" spans="1:24" x14ac:dyDescent="0.25">
      <c r="B19" s="31"/>
      <c r="C19" s="31"/>
      <c r="F19" s="31"/>
      <c r="G19" s="31"/>
      <c r="H19" s="31"/>
      <c r="I19" s="31"/>
      <c r="J19" s="31"/>
      <c r="K19" s="31"/>
      <c r="L19" s="31"/>
      <c r="M19" s="31"/>
    </row>
    <row r="20" spans="1:24" ht="13.8" thickBot="1" x14ac:dyDescent="0.3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24" ht="13.8" thickBot="1" x14ac:dyDescent="0.3">
      <c r="A21" s="19" t="s">
        <v>24</v>
      </c>
      <c r="B21" s="119" t="s">
        <v>170</v>
      </c>
      <c r="C21" s="44" t="s">
        <v>171</v>
      </c>
      <c r="D21" s="67" t="s">
        <v>168</v>
      </c>
      <c r="E21" s="91">
        <v>45778</v>
      </c>
      <c r="F21" s="97">
        <v>45413</v>
      </c>
      <c r="G21" s="97">
        <v>45047</v>
      </c>
      <c r="H21" s="97">
        <v>44682</v>
      </c>
      <c r="I21" s="97">
        <v>44317</v>
      </c>
      <c r="J21" s="97">
        <v>43952</v>
      </c>
      <c r="K21" s="97">
        <v>43586</v>
      </c>
      <c r="L21" s="97">
        <v>43221</v>
      </c>
      <c r="M21" s="20">
        <v>42856</v>
      </c>
      <c r="N21" s="20">
        <v>42491</v>
      </c>
      <c r="O21" s="20">
        <v>42125</v>
      </c>
      <c r="P21" s="20">
        <v>41760</v>
      </c>
      <c r="Q21" s="20">
        <v>41395</v>
      </c>
      <c r="R21" s="20">
        <v>41030</v>
      </c>
      <c r="S21" s="20">
        <v>40664</v>
      </c>
      <c r="T21" s="20">
        <v>40299</v>
      </c>
      <c r="U21" s="20">
        <v>39934</v>
      </c>
      <c r="V21" s="20">
        <v>39569</v>
      </c>
      <c r="W21" s="21">
        <v>39203</v>
      </c>
    </row>
    <row r="22" spans="1:24" x14ac:dyDescent="0.25">
      <c r="A22" s="16" t="s">
        <v>7</v>
      </c>
      <c r="B22" s="22">
        <f t="shared" ref="B22:B25" si="3">IFERROR(((E22-F22)/F22),"")</f>
        <v>-1</v>
      </c>
      <c r="C22" s="102">
        <v>-2000</v>
      </c>
      <c r="D22" s="1">
        <v>-3100</v>
      </c>
      <c r="E22" s="92">
        <v>0</v>
      </c>
      <c r="F22" s="1">
        <v>400</v>
      </c>
      <c r="G22" s="1">
        <v>200</v>
      </c>
      <c r="H22" s="1"/>
      <c r="I22" s="1"/>
      <c r="J22" s="1">
        <v>0</v>
      </c>
      <c r="K22" s="1"/>
      <c r="L22" s="1">
        <v>0</v>
      </c>
      <c r="M22" s="1">
        <v>0</v>
      </c>
      <c r="N22" s="1">
        <v>0</v>
      </c>
      <c r="O22" s="1">
        <v>0</v>
      </c>
      <c r="P22" s="1">
        <v>1000</v>
      </c>
      <c r="Q22" s="1"/>
      <c r="R22" s="1"/>
      <c r="S22" s="1"/>
      <c r="T22" s="1">
        <v>1000</v>
      </c>
      <c r="U22" s="1">
        <v>0</v>
      </c>
      <c r="V22" s="1">
        <v>0</v>
      </c>
      <c r="W22" s="24">
        <v>500</v>
      </c>
    </row>
    <row r="23" spans="1:24" x14ac:dyDescent="0.25">
      <c r="A23" s="35" t="s">
        <v>92</v>
      </c>
      <c r="B23" s="124" t="str">
        <f t="shared" si="3"/>
        <v/>
      </c>
      <c r="C23" s="102">
        <v>0</v>
      </c>
      <c r="D23" s="1">
        <v>0</v>
      </c>
      <c r="E23" s="92">
        <v>0</v>
      </c>
      <c r="F23" s="1"/>
      <c r="G23" s="1"/>
      <c r="H23" s="1"/>
      <c r="I23" s="1"/>
      <c r="J23" s="1">
        <v>0</v>
      </c>
      <c r="K23" s="1"/>
      <c r="L23" s="1">
        <v>0</v>
      </c>
      <c r="M23" s="1">
        <v>0</v>
      </c>
      <c r="N23" s="1"/>
      <c r="O23" s="1"/>
      <c r="P23" s="1"/>
      <c r="Q23" s="1"/>
      <c r="R23" s="1"/>
      <c r="S23" s="1"/>
      <c r="T23" s="1">
        <v>0</v>
      </c>
      <c r="U23" s="1">
        <v>0</v>
      </c>
      <c r="V23" s="1">
        <v>0</v>
      </c>
      <c r="W23" s="24">
        <v>0</v>
      </c>
    </row>
    <row r="24" spans="1:24" ht="13.8" thickBot="1" x14ac:dyDescent="0.3">
      <c r="A24" s="25" t="s">
        <v>57</v>
      </c>
      <c r="B24" s="23" t="str">
        <f t="shared" si="3"/>
        <v/>
      </c>
      <c r="C24" s="103">
        <v>-1000</v>
      </c>
      <c r="D24" s="9">
        <v>-500</v>
      </c>
      <c r="E24" s="93">
        <v>0</v>
      </c>
      <c r="F24" s="9">
        <v>0</v>
      </c>
      <c r="G24" s="9">
        <v>0</v>
      </c>
      <c r="H24" s="9"/>
      <c r="I24" s="9"/>
      <c r="J24" s="9">
        <v>0</v>
      </c>
      <c r="K24" s="9"/>
      <c r="L24" s="9">
        <v>0</v>
      </c>
      <c r="M24" s="9">
        <v>0</v>
      </c>
      <c r="N24" s="9"/>
      <c r="O24" s="9"/>
      <c r="P24" s="9"/>
      <c r="Q24" s="9"/>
      <c r="R24" s="9"/>
      <c r="S24" s="9"/>
      <c r="T24" s="9">
        <v>0</v>
      </c>
      <c r="U24" s="9">
        <v>0</v>
      </c>
      <c r="V24" s="9">
        <v>0</v>
      </c>
      <c r="W24" s="26">
        <v>0</v>
      </c>
    </row>
    <row r="25" spans="1:24" s="8" customFormat="1" ht="13.8" thickBot="1" x14ac:dyDescent="0.3">
      <c r="A25" s="27" t="s">
        <v>22</v>
      </c>
      <c r="B25" s="28">
        <f t="shared" si="3"/>
        <v>-1</v>
      </c>
      <c r="C25" s="125">
        <v>-3000</v>
      </c>
      <c r="D25" s="29">
        <v>-3600</v>
      </c>
      <c r="E25" s="86">
        <f>SUM(E22:E24)</f>
        <v>0</v>
      </c>
      <c r="F25" s="29">
        <f>SUM(F22:F24)</f>
        <v>400</v>
      </c>
      <c r="G25" s="29">
        <f>SUM(G22:G24)</f>
        <v>200</v>
      </c>
      <c r="H25" s="29"/>
      <c r="I25" s="29"/>
      <c r="J25" s="29">
        <f>SUM(J22:J24)</f>
        <v>0</v>
      </c>
      <c r="K25" s="29">
        <v>0</v>
      </c>
      <c r="L25" s="29">
        <v>0</v>
      </c>
      <c r="M25" s="29">
        <f>SUM(M22:M24)</f>
        <v>0</v>
      </c>
      <c r="N25" s="29">
        <v>0</v>
      </c>
      <c r="O25" s="29">
        <f>SUM(O22:O24)</f>
        <v>0</v>
      </c>
      <c r="P25" s="29">
        <f>SUM(P22:P24)</f>
        <v>1000</v>
      </c>
      <c r="Q25" s="29">
        <v>0</v>
      </c>
      <c r="R25" s="29">
        <v>0</v>
      </c>
      <c r="S25" s="29">
        <v>0</v>
      </c>
      <c r="T25" s="29">
        <f>SUM(T22:T24)</f>
        <v>1000</v>
      </c>
      <c r="U25" s="29">
        <f>SUM(U22:U24)</f>
        <v>0</v>
      </c>
      <c r="V25" s="29">
        <f>SUM(V22:V24)</f>
        <v>0</v>
      </c>
      <c r="W25" s="30">
        <f>SUM(W22:W24)</f>
        <v>500</v>
      </c>
    </row>
    <row r="27" spans="1:24" x14ac:dyDescent="0.25">
      <c r="B27" s="3" t="s">
        <v>176</v>
      </c>
    </row>
    <row r="28" spans="1:24" x14ac:dyDescent="0.25">
      <c r="B28" s="3" t="s">
        <v>177</v>
      </c>
    </row>
    <row r="32" spans="1:24" ht="17.399999999999999" x14ac:dyDescent="0.3">
      <c r="V32" s="5"/>
      <c r="W32" s="1"/>
      <c r="X32" s="1"/>
    </row>
    <row r="33" spans="22:24" ht="17.399999999999999" x14ac:dyDescent="0.3">
      <c r="V33" s="5"/>
      <c r="W33" s="1"/>
      <c r="X33" s="1"/>
    </row>
    <row r="34" spans="22:24" ht="17.399999999999999" x14ac:dyDescent="0.3">
      <c r="V34" s="5"/>
      <c r="W34" s="1"/>
      <c r="X34" s="1"/>
    </row>
    <row r="35" spans="22:24" ht="17.399999999999999" x14ac:dyDescent="0.3">
      <c r="V35" s="5"/>
      <c r="W35" s="1"/>
      <c r="X35" s="1"/>
    </row>
    <row r="36" spans="22:24" ht="17.399999999999999" x14ac:dyDescent="0.3">
      <c r="V36" s="5"/>
      <c r="W36" s="1"/>
      <c r="X36" s="1"/>
    </row>
    <row r="37" spans="22:24" ht="17.399999999999999" x14ac:dyDescent="0.3">
      <c r="V37" s="5"/>
      <c r="W37" s="1"/>
      <c r="X37" s="1"/>
    </row>
    <row r="38" spans="22:24" ht="17.399999999999999" x14ac:dyDescent="0.3">
      <c r="V38" s="5"/>
      <c r="W38" s="1"/>
      <c r="X38" s="1"/>
    </row>
    <row r="39" spans="22:24" ht="17.399999999999999" x14ac:dyDescent="0.3">
      <c r="V39" s="5"/>
      <c r="W39" s="1"/>
      <c r="X39" s="1"/>
    </row>
    <row r="40" spans="22:24" ht="17.399999999999999" x14ac:dyDescent="0.3">
      <c r="V40" s="5"/>
      <c r="W40" s="1"/>
      <c r="X40" s="1"/>
    </row>
    <row r="41" spans="22:24" ht="17.399999999999999" x14ac:dyDescent="0.3">
      <c r="V41" s="5"/>
      <c r="W41" s="1"/>
      <c r="X41" s="1"/>
    </row>
    <row r="42" spans="22:24" ht="17.399999999999999" x14ac:dyDescent="0.3">
      <c r="V42" s="6"/>
      <c r="W42" s="1"/>
      <c r="X42" s="1"/>
    </row>
    <row r="43" spans="22:24" ht="18" x14ac:dyDescent="0.35">
      <c r="V43" s="7"/>
      <c r="W43" s="2"/>
      <c r="X43" s="2"/>
    </row>
  </sheetData>
  <conditionalFormatting sqref="E1">
    <cfRule type="expression" dxfId="11" priority="2">
      <formula>ISBLANK(XFD1)=FALSE</formula>
    </cfRule>
  </conditionalFormatting>
  <conditionalFormatting sqref="E21">
    <cfRule type="expression" dxfId="10" priority="1">
      <formula>ISBLANK(XFD21)=FALSE</formula>
    </cfRule>
  </conditionalFormatting>
  <pageMargins left="0.75" right="0.75" top="1" bottom="1" header="0.5" footer="0.5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15"/>
  <sheetViews>
    <sheetView zoomScaleNormal="100" workbookViewId="0"/>
  </sheetViews>
  <sheetFormatPr defaultColWidth="9.109375" defaultRowHeight="13.2" x14ac:dyDescent="0.25"/>
  <cols>
    <col min="1" max="1" width="22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2" width="11.44140625" customWidth="1"/>
    <col min="13" max="13" width="10.44140625" customWidth="1"/>
    <col min="14" max="21" width="10.109375" customWidth="1"/>
  </cols>
  <sheetData>
    <row r="1" spans="1:21" ht="13.8" thickBot="1" x14ac:dyDescent="0.3">
      <c r="A1" s="34" t="s">
        <v>90</v>
      </c>
      <c r="B1" s="119" t="s">
        <v>170</v>
      </c>
      <c r="C1" s="44" t="s">
        <v>171</v>
      </c>
      <c r="D1" s="67" t="s">
        <v>168</v>
      </c>
      <c r="E1" s="91">
        <v>45778</v>
      </c>
      <c r="F1" s="97">
        <v>45413</v>
      </c>
      <c r="G1" s="97">
        <v>45047</v>
      </c>
      <c r="H1" s="97">
        <v>44682</v>
      </c>
      <c r="I1" s="97">
        <v>44317</v>
      </c>
      <c r="J1" s="97">
        <v>43952</v>
      </c>
      <c r="K1" s="97">
        <v>43586</v>
      </c>
      <c r="L1" s="97">
        <v>43221</v>
      </c>
      <c r="M1" s="20">
        <v>42856</v>
      </c>
      <c r="N1" s="20">
        <v>42491</v>
      </c>
      <c r="O1" s="20">
        <v>42125</v>
      </c>
      <c r="P1" s="20">
        <v>41760</v>
      </c>
      <c r="Q1" s="20">
        <v>41395</v>
      </c>
      <c r="R1" s="20">
        <v>41030</v>
      </c>
      <c r="S1" s="20">
        <v>40664</v>
      </c>
      <c r="T1" s="20">
        <v>40299</v>
      </c>
      <c r="U1" s="21">
        <v>39934</v>
      </c>
    </row>
    <row r="2" spans="1:21" x14ac:dyDescent="0.25">
      <c r="A2" s="35" t="s">
        <v>9</v>
      </c>
      <c r="B2" s="42" t="str">
        <f t="shared" ref="B2:B9" si="0">IFERROR(((E2-F2)/F2),"")</f>
        <v/>
      </c>
      <c r="C2" s="152"/>
      <c r="D2" s="153"/>
      <c r="E2" s="154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59"/>
    </row>
    <row r="3" spans="1:21" x14ac:dyDescent="0.25">
      <c r="A3" s="35" t="s">
        <v>145</v>
      </c>
      <c r="B3" s="42" t="str">
        <f t="shared" si="0"/>
        <v/>
      </c>
      <c r="C3" s="152"/>
      <c r="D3" s="153"/>
      <c r="E3" s="154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59"/>
    </row>
    <row r="4" spans="1:21" x14ac:dyDescent="0.25">
      <c r="A4" s="35" t="s">
        <v>26</v>
      </c>
      <c r="B4" s="42" t="str">
        <f t="shared" si="0"/>
        <v/>
      </c>
      <c r="C4" s="152"/>
      <c r="D4" s="153"/>
      <c r="E4" s="154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59"/>
    </row>
    <row r="5" spans="1:21" x14ac:dyDescent="0.25">
      <c r="A5" s="35" t="s">
        <v>25</v>
      </c>
      <c r="B5" s="42" t="str">
        <f t="shared" si="0"/>
        <v/>
      </c>
      <c r="C5" s="152"/>
      <c r="D5" s="153"/>
      <c r="E5" s="154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59"/>
    </row>
    <row r="6" spans="1:21" x14ac:dyDescent="0.25">
      <c r="A6" s="35" t="s">
        <v>19</v>
      </c>
      <c r="B6" s="42" t="str">
        <f t="shared" si="0"/>
        <v/>
      </c>
      <c r="C6" s="152"/>
      <c r="D6" s="153"/>
      <c r="E6" s="154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59"/>
    </row>
    <row r="7" spans="1:21" x14ac:dyDescent="0.25">
      <c r="A7" s="35" t="s">
        <v>87</v>
      </c>
      <c r="B7" s="42" t="str">
        <f t="shared" si="0"/>
        <v/>
      </c>
      <c r="C7" s="152"/>
      <c r="D7" s="153"/>
      <c r="E7" s="154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59"/>
    </row>
    <row r="8" spans="1:21" ht="13.8" thickBot="1" x14ac:dyDescent="0.3">
      <c r="A8" s="36" t="s">
        <v>6</v>
      </c>
      <c r="B8" s="43" t="str">
        <f t="shared" si="0"/>
        <v/>
      </c>
      <c r="C8" s="155"/>
      <c r="D8" s="156"/>
      <c r="E8" s="157"/>
      <c r="F8" s="33"/>
      <c r="G8" s="33"/>
      <c r="H8" s="33"/>
      <c r="I8" s="33"/>
      <c r="J8" s="33"/>
      <c r="K8" s="33"/>
      <c r="L8" s="33"/>
      <c r="M8" s="32"/>
      <c r="N8" s="33"/>
      <c r="O8" s="33"/>
      <c r="P8" s="33"/>
      <c r="Q8" s="33"/>
      <c r="R8" s="33"/>
      <c r="S8" s="33"/>
      <c r="T8" s="33"/>
      <c r="U8" s="59"/>
    </row>
    <row r="9" spans="1:21" ht="13.8" thickBot="1" x14ac:dyDescent="0.3">
      <c r="A9" s="37" t="s">
        <v>91</v>
      </c>
      <c r="B9" s="66" t="str">
        <f t="shared" si="0"/>
        <v/>
      </c>
      <c r="C9" s="158"/>
      <c r="D9" s="159"/>
      <c r="E9" s="160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79"/>
    </row>
    <row r="11" spans="1:21" ht="13.8" thickBo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3.8" thickBot="1" x14ac:dyDescent="0.3">
      <c r="A12" s="46" t="s">
        <v>90</v>
      </c>
      <c r="B12" s="119" t="s">
        <v>170</v>
      </c>
      <c r="C12" s="44" t="s">
        <v>171</v>
      </c>
      <c r="D12" s="67" t="s">
        <v>168</v>
      </c>
      <c r="E12" s="91">
        <v>45778</v>
      </c>
      <c r="F12" s="97">
        <v>45413</v>
      </c>
      <c r="G12" s="97">
        <v>45047</v>
      </c>
      <c r="H12" s="97">
        <v>44682</v>
      </c>
      <c r="I12" s="97">
        <v>44317</v>
      </c>
      <c r="J12" s="97">
        <v>43952</v>
      </c>
      <c r="K12" s="97">
        <v>43586</v>
      </c>
      <c r="L12" s="97">
        <v>43221</v>
      </c>
      <c r="M12" s="20">
        <v>42856</v>
      </c>
      <c r="N12" s="20">
        <v>42491</v>
      </c>
      <c r="O12" s="20">
        <v>42125</v>
      </c>
      <c r="P12" s="20">
        <v>41760</v>
      </c>
      <c r="Q12" s="20">
        <v>41395</v>
      </c>
      <c r="R12" s="20">
        <v>41030</v>
      </c>
      <c r="S12" s="20">
        <v>40664</v>
      </c>
      <c r="T12" s="20">
        <v>40299</v>
      </c>
      <c r="U12" s="21">
        <v>39934</v>
      </c>
    </row>
    <row r="13" spans="1:21" ht="13.8" thickBot="1" x14ac:dyDescent="0.3">
      <c r="A13" s="47" t="s">
        <v>147</v>
      </c>
      <c r="B13" s="48">
        <f t="shared" ref="B13:B14" si="1">IFERROR(((E13-F13)/F13),"")</f>
        <v>0.58062074186222556</v>
      </c>
      <c r="C13" s="161">
        <v>-25398</v>
      </c>
      <c r="D13" s="50">
        <v>-20338</v>
      </c>
      <c r="E13" s="49">
        <v>10440</v>
      </c>
      <c r="F13" s="50">
        <v>6605</v>
      </c>
      <c r="G13" s="50">
        <v>4063</v>
      </c>
      <c r="H13" s="50">
        <v>34896</v>
      </c>
      <c r="I13" s="50">
        <v>4217.5</v>
      </c>
      <c r="J13" s="50">
        <v>12058</v>
      </c>
      <c r="K13" s="50">
        <v>12737</v>
      </c>
      <c r="L13" s="50">
        <v>5745</v>
      </c>
      <c r="M13" s="50">
        <v>4397</v>
      </c>
      <c r="N13" s="50">
        <v>2891</v>
      </c>
      <c r="O13" s="50">
        <v>6678.5714285714284</v>
      </c>
      <c r="P13" s="50">
        <v>26042.682926829268</v>
      </c>
      <c r="Q13" s="50">
        <v>0</v>
      </c>
      <c r="R13" s="50">
        <v>0</v>
      </c>
      <c r="S13" s="50">
        <v>0</v>
      </c>
      <c r="T13" s="50"/>
      <c r="U13" s="61"/>
    </row>
    <row r="14" spans="1:21" ht="13.8" thickBot="1" x14ac:dyDescent="0.3">
      <c r="A14" s="46" t="s">
        <v>91</v>
      </c>
      <c r="B14" s="56">
        <f t="shared" si="1"/>
        <v>0.58062074186222556</v>
      </c>
      <c r="C14" s="109">
        <v>-25398</v>
      </c>
      <c r="D14" s="72">
        <v>-20338</v>
      </c>
      <c r="E14" s="57">
        <v>10440</v>
      </c>
      <c r="F14" s="72">
        <v>6605</v>
      </c>
      <c r="G14" s="72">
        <v>4063</v>
      </c>
      <c r="H14" s="72">
        <v>34896</v>
      </c>
      <c r="I14" s="72">
        <f>SUM(I13)</f>
        <v>4217.5</v>
      </c>
      <c r="J14" s="72">
        <f>SUM(J13)</f>
        <v>12058</v>
      </c>
      <c r="K14" s="72">
        <f>SUM(K13)</f>
        <v>12737</v>
      </c>
      <c r="L14" s="72">
        <f>SUM(L13)</f>
        <v>5745</v>
      </c>
      <c r="M14" s="72">
        <f>SUM(M13)</f>
        <v>4397</v>
      </c>
      <c r="N14" s="72">
        <f t="shared" ref="N14:S14" si="2">SUM(N13)</f>
        <v>2891</v>
      </c>
      <c r="O14" s="72">
        <f t="shared" si="2"/>
        <v>6678.5714285714284</v>
      </c>
      <c r="P14" s="72">
        <f t="shared" si="2"/>
        <v>26042.682926829268</v>
      </c>
      <c r="Q14" s="72">
        <f t="shared" si="2"/>
        <v>0</v>
      </c>
      <c r="R14" s="72">
        <f t="shared" si="2"/>
        <v>0</v>
      </c>
      <c r="S14" s="72">
        <f t="shared" si="2"/>
        <v>0</v>
      </c>
      <c r="T14" s="72"/>
      <c r="U14" s="73"/>
    </row>
    <row r="15" spans="1:21" x14ac:dyDescent="0.25">
      <c r="B15" s="3" t="s">
        <v>178</v>
      </c>
    </row>
  </sheetData>
  <conditionalFormatting sqref="E1">
    <cfRule type="expression" dxfId="9" priority="2">
      <formula>ISBLANK(XFD1)=FALSE</formula>
    </cfRule>
  </conditionalFormatting>
  <conditionalFormatting sqref="E12">
    <cfRule type="expression" dxfId="8" priority="1">
      <formula>ISBLANK(XFD12)=FALSE</formula>
    </cfRule>
  </conditionalFormatting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36"/>
  <sheetViews>
    <sheetView zoomScaleNormal="100" workbookViewId="0"/>
  </sheetViews>
  <sheetFormatPr defaultColWidth="9.109375" defaultRowHeight="13.2" x14ac:dyDescent="0.25"/>
  <cols>
    <col min="1" max="1" width="18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1" width="11.44140625" customWidth="1"/>
    <col min="12" max="12" width="11.6640625" customWidth="1"/>
    <col min="13" max="23" width="10.109375" bestFit="1" customWidth="1"/>
  </cols>
  <sheetData>
    <row r="1" spans="1:27" ht="13.8" thickBot="1" x14ac:dyDescent="0.3">
      <c r="A1" s="34" t="s">
        <v>90</v>
      </c>
      <c r="B1" s="119" t="s">
        <v>170</v>
      </c>
      <c r="C1" s="44" t="s">
        <v>171</v>
      </c>
      <c r="D1" s="67" t="s">
        <v>168</v>
      </c>
      <c r="E1" s="91">
        <v>45778</v>
      </c>
      <c r="F1" s="97">
        <v>45413</v>
      </c>
      <c r="G1" s="97">
        <v>45047</v>
      </c>
      <c r="H1" s="97">
        <v>44682</v>
      </c>
      <c r="I1" s="97">
        <v>44317</v>
      </c>
      <c r="J1" s="97">
        <v>43952</v>
      </c>
      <c r="K1" s="97">
        <v>43586</v>
      </c>
      <c r="L1" s="97">
        <v>43221</v>
      </c>
      <c r="M1" s="20">
        <v>42856</v>
      </c>
      <c r="N1" s="20">
        <v>42491</v>
      </c>
      <c r="O1" s="20">
        <v>42125</v>
      </c>
      <c r="P1" s="20">
        <v>41760</v>
      </c>
      <c r="Q1" s="20">
        <v>41395</v>
      </c>
      <c r="R1" s="20">
        <v>41030</v>
      </c>
      <c r="S1" s="20">
        <v>40664</v>
      </c>
      <c r="T1" s="20">
        <v>40299</v>
      </c>
      <c r="U1" s="20">
        <v>39934</v>
      </c>
      <c r="V1" s="20">
        <v>39569</v>
      </c>
      <c r="W1" s="21">
        <v>39203</v>
      </c>
    </row>
    <row r="2" spans="1:27" x14ac:dyDescent="0.25">
      <c r="A2" s="16" t="s">
        <v>107</v>
      </c>
      <c r="B2" s="22">
        <f t="shared" ref="B2:B8" si="0">IFERROR(((E2-F2)/F2),"")</f>
        <v>1.0447358272271501</v>
      </c>
      <c r="C2" s="102">
        <v>-3095</v>
      </c>
      <c r="D2" s="1">
        <v>-1876</v>
      </c>
      <c r="E2" s="92">
        <v>5302</v>
      </c>
      <c r="F2" s="1">
        <v>2593</v>
      </c>
      <c r="G2" s="1">
        <v>4815.5031244175998</v>
      </c>
      <c r="H2" s="1">
        <v>8102.8200798978723</v>
      </c>
      <c r="I2" s="1">
        <v>5927.0914415902289</v>
      </c>
      <c r="J2" s="1">
        <v>7779.9746988773913</v>
      </c>
      <c r="K2" s="1">
        <v>10407.499987302384</v>
      </c>
      <c r="L2" s="1">
        <v>4306</v>
      </c>
      <c r="M2" s="1">
        <v>9766.3879970853377</v>
      </c>
      <c r="N2" s="1">
        <v>6285.8653399490204</v>
      </c>
      <c r="O2" s="1">
        <v>3800.4610216728242</v>
      </c>
      <c r="P2" s="1">
        <v>5791.2975018842699</v>
      </c>
      <c r="Q2" s="1">
        <v>1047.6551218719571</v>
      </c>
      <c r="R2" s="1">
        <v>3235</v>
      </c>
      <c r="S2" s="1">
        <v>1944.753939274229</v>
      </c>
      <c r="T2" s="1">
        <v>1774</v>
      </c>
      <c r="U2" s="1">
        <v>2538</v>
      </c>
      <c r="V2" s="1">
        <v>2835</v>
      </c>
      <c r="W2" s="24">
        <v>928</v>
      </c>
    </row>
    <row r="3" spans="1:27" x14ac:dyDescent="0.25">
      <c r="A3" s="16" t="s">
        <v>108</v>
      </c>
      <c r="B3" s="22">
        <f t="shared" si="0"/>
        <v>-0.54545454545454541</v>
      </c>
      <c r="C3" s="102">
        <v>-138</v>
      </c>
      <c r="D3" s="1">
        <v>-299</v>
      </c>
      <c r="E3" s="92">
        <v>10</v>
      </c>
      <c r="F3" s="1">
        <v>22</v>
      </c>
      <c r="G3" s="1">
        <v>11.710224365965079</v>
      </c>
      <c r="H3" s="1">
        <v>157.24732394007219</v>
      </c>
      <c r="I3" s="1">
        <v>47.017505944997453</v>
      </c>
      <c r="J3" s="1">
        <v>135.6767225898825</v>
      </c>
      <c r="K3" s="1">
        <v>188</v>
      </c>
      <c r="L3" s="1">
        <v>17</v>
      </c>
      <c r="M3" s="1">
        <v>413</v>
      </c>
      <c r="N3" s="1">
        <v>117.1608557486843</v>
      </c>
      <c r="O3" s="1">
        <v>380.62328178047278</v>
      </c>
      <c r="P3" s="1">
        <v>2.6260607436131207</v>
      </c>
      <c r="Q3" s="1">
        <v>0</v>
      </c>
      <c r="R3" s="1">
        <v>16.468467897688623</v>
      </c>
      <c r="S3" s="1">
        <v>257.93980568868142</v>
      </c>
      <c r="T3" s="1">
        <v>132</v>
      </c>
      <c r="U3" s="1">
        <v>285</v>
      </c>
      <c r="V3" s="1">
        <v>135</v>
      </c>
      <c r="W3" s="24">
        <v>179</v>
      </c>
    </row>
    <row r="4" spans="1:27" x14ac:dyDescent="0.25">
      <c r="A4" s="16" t="s">
        <v>109</v>
      </c>
      <c r="B4" s="22">
        <f t="shared" si="0"/>
        <v>-0.12100489839468452</v>
      </c>
      <c r="C4" s="102">
        <v>-15103</v>
      </c>
      <c r="D4" s="1">
        <v>-12394</v>
      </c>
      <c r="E4" s="92">
        <v>54372</v>
      </c>
      <c r="F4" s="1">
        <v>61857</v>
      </c>
      <c r="G4" s="1">
        <v>37613.090676250766</v>
      </c>
      <c r="H4" s="1">
        <v>70427.925203863517</v>
      </c>
      <c r="I4" s="1">
        <v>39539.898019123131</v>
      </c>
      <c r="J4" s="1">
        <v>70017.837869023133</v>
      </c>
      <c r="K4" s="1">
        <v>51534.220424674953</v>
      </c>
      <c r="L4" s="1">
        <v>39101</v>
      </c>
      <c r="M4" s="1">
        <v>70640</v>
      </c>
      <c r="N4" s="1">
        <v>41242.843465537386</v>
      </c>
      <c r="O4" s="1">
        <v>57315.844754252859</v>
      </c>
      <c r="P4" s="1">
        <v>50736.037590910724</v>
      </c>
      <c r="Q4" s="1">
        <v>27690.515783730974</v>
      </c>
      <c r="R4" s="1">
        <v>57676.849674617653</v>
      </c>
      <c r="S4" s="1">
        <v>45942.055357280413</v>
      </c>
      <c r="T4" s="1">
        <v>39784</v>
      </c>
      <c r="U4" s="1">
        <v>62391</v>
      </c>
      <c r="V4" s="1">
        <v>39485</v>
      </c>
      <c r="W4" s="24">
        <v>35405</v>
      </c>
    </row>
    <row r="5" spans="1:27" x14ac:dyDescent="0.25">
      <c r="A5" s="16" t="s">
        <v>17</v>
      </c>
      <c r="B5" s="22">
        <f t="shared" si="0"/>
        <v>0.21415698838606329</v>
      </c>
      <c r="C5" s="102">
        <v>-2824</v>
      </c>
      <c r="D5" s="1">
        <v>-1836</v>
      </c>
      <c r="E5" s="92">
        <v>12127</v>
      </c>
      <c r="F5" s="1">
        <v>9988</v>
      </c>
      <c r="G5" s="1">
        <v>7037.5394938952568</v>
      </c>
      <c r="H5" s="1">
        <v>12489.714682601625</v>
      </c>
      <c r="I5" s="1">
        <v>8479.3531885851353</v>
      </c>
      <c r="J5" s="1">
        <v>9666.3988770030119</v>
      </c>
      <c r="K5" s="1">
        <v>8653.0760610108555</v>
      </c>
      <c r="L5" s="1">
        <v>7000</v>
      </c>
      <c r="M5" s="1">
        <v>6661</v>
      </c>
      <c r="N5" s="1">
        <v>6806.226610468223</v>
      </c>
      <c r="O5" s="1">
        <v>4280.4849769467655</v>
      </c>
      <c r="P5" s="1">
        <v>3317.0717708889242</v>
      </c>
      <c r="Q5" s="1">
        <v>2159.9727070975114</v>
      </c>
      <c r="R5" s="1">
        <v>2915.3514804445654</v>
      </c>
      <c r="S5" s="1">
        <v>324.84393741035819</v>
      </c>
      <c r="T5" s="1">
        <v>2014</v>
      </c>
      <c r="U5" s="1">
        <v>1871</v>
      </c>
      <c r="V5" s="1">
        <v>475</v>
      </c>
      <c r="W5" s="24">
        <v>101</v>
      </c>
      <c r="Z5" s="1"/>
      <c r="AA5" s="1"/>
    </row>
    <row r="6" spans="1:27" x14ac:dyDescent="0.25">
      <c r="A6" s="16" t="s">
        <v>19</v>
      </c>
      <c r="B6" s="22">
        <f t="shared" si="0"/>
        <v>-0.17337584695097649</v>
      </c>
      <c r="C6" s="102">
        <v>-1670</v>
      </c>
      <c r="D6" s="1">
        <v>-2482</v>
      </c>
      <c r="E6" s="92">
        <v>4148</v>
      </c>
      <c r="F6" s="1">
        <v>5018</v>
      </c>
      <c r="G6" s="1">
        <v>5901.3267301259621</v>
      </c>
      <c r="H6" s="1">
        <v>9682.961640089401</v>
      </c>
      <c r="I6" s="1">
        <v>6654.7630310044806</v>
      </c>
      <c r="J6" s="1">
        <v>8912.8753191026681</v>
      </c>
      <c r="K6" s="1">
        <v>7235.0672601743299</v>
      </c>
      <c r="L6" s="1">
        <v>4039</v>
      </c>
      <c r="M6" s="68">
        <v>4458</v>
      </c>
      <c r="N6" s="68">
        <v>5423.0965681677535</v>
      </c>
      <c r="O6" s="68">
        <v>3665.054133612075</v>
      </c>
      <c r="P6" s="68">
        <v>925.8626144643797</v>
      </c>
      <c r="Q6" s="68">
        <v>1094.6283477818083</v>
      </c>
      <c r="R6" s="68">
        <v>1295.0763009642578</v>
      </c>
      <c r="S6" s="68">
        <v>486.22067952895304</v>
      </c>
      <c r="T6" s="68">
        <v>1918</v>
      </c>
      <c r="U6" s="68">
        <v>4887</v>
      </c>
      <c r="V6" s="1">
        <v>2220</v>
      </c>
      <c r="W6" s="24">
        <v>2095</v>
      </c>
      <c r="Z6" s="1"/>
      <c r="AA6" s="1"/>
    </row>
    <row r="7" spans="1:27" ht="13.8" thickBot="1" x14ac:dyDescent="0.3">
      <c r="A7" s="17" t="s">
        <v>57</v>
      </c>
      <c r="B7" s="22">
        <f t="shared" si="0"/>
        <v>-4.941634241245136E-2</v>
      </c>
      <c r="C7" s="102">
        <v>-4914</v>
      </c>
      <c r="D7" s="1">
        <v>-4360</v>
      </c>
      <c r="E7" s="92">
        <v>9772</v>
      </c>
      <c r="F7" s="9">
        <v>10280</v>
      </c>
      <c r="G7" s="9">
        <v>6515</v>
      </c>
      <c r="H7" s="9">
        <v>7124.38</v>
      </c>
      <c r="I7" s="9">
        <v>5205</v>
      </c>
      <c r="J7" s="9">
        <v>7801.24</v>
      </c>
      <c r="K7" s="9">
        <v>3689</v>
      </c>
      <c r="L7" s="9">
        <v>2825</v>
      </c>
      <c r="M7" s="69">
        <v>3354</v>
      </c>
      <c r="N7" s="69">
        <v>2361</v>
      </c>
      <c r="O7" s="69">
        <v>2276.9549999999999</v>
      </c>
      <c r="P7" s="69">
        <v>2359.8000000000002</v>
      </c>
      <c r="Q7" s="69">
        <v>1313</v>
      </c>
      <c r="R7" s="69">
        <v>2614</v>
      </c>
      <c r="S7" s="69">
        <v>595.5</v>
      </c>
      <c r="T7" s="69">
        <v>538</v>
      </c>
      <c r="U7" s="69">
        <v>1749</v>
      </c>
      <c r="V7" s="9">
        <v>712</v>
      </c>
      <c r="W7" s="26">
        <v>1427</v>
      </c>
      <c r="Z7" s="1"/>
      <c r="AA7" s="1"/>
    </row>
    <row r="8" spans="1:27" ht="13.8" thickBot="1" x14ac:dyDescent="0.3">
      <c r="A8" s="19" t="s">
        <v>22</v>
      </c>
      <c r="B8" s="108">
        <f t="shared" si="0"/>
        <v>-4.486508166402995E-2</v>
      </c>
      <c r="C8" s="109">
        <v>-27744</v>
      </c>
      <c r="D8" s="41">
        <v>-23247</v>
      </c>
      <c r="E8" s="40">
        <f t="shared" ref="E8" si="1">SUM(E2:E7)</f>
        <v>85731</v>
      </c>
      <c r="F8" s="29">
        <f t="shared" ref="F8:K8" si="2">SUM(F2:F7)</f>
        <v>89758</v>
      </c>
      <c r="G8" s="29">
        <f t="shared" si="2"/>
        <v>61894.170249055554</v>
      </c>
      <c r="H8" s="29">
        <f t="shared" si="2"/>
        <v>107985.04893039248</v>
      </c>
      <c r="I8" s="29">
        <f t="shared" si="2"/>
        <v>65853.123186247976</v>
      </c>
      <c r="J8" s="29">
        <f t="shared" si="2"/>
        <v>104314.00348659609</v>
      </c>
      <c r="K8" s="29">
        <f t="shared" si="2"/>
        <v>81706.863733162521</v>
      </c>
      <c r="L8" s="29">
        <f t="shared" ref="L8:Q8" si="3">SUM(L2:L7)</f>
        <v>57288</v>
      </c>
      <c r="M8" s="29">
        <f t="shared" si="3"/>
        <v>95292.387997085345</v>
      </c>
      <c r="N8" s="29">
        <f t="shared" si="3"/>
        <v>62236.192839871066</v>
      </c>
      <c r="O8" s="29">
        <f t="shared" si="3"/>
        <v>71719.423168264999</v>
      </c>
      <c r="P8" s="29">
        <f t="shared" si="3"/>
        <v>63132.695538891916</v>
      </c>
      <c r="Q8" s="29">
        <f t="shared" si="3"/>
        <v>33305.771960482249</v>
      </c>
      <c r="R8" s="29">
        <f t="shared" ref="R8:W8" si="4">SUM(R2:R7)</f>
        <v>67752.745923924173</v>
      </c>
      <c r="S8" s="29">
        <f t="shared" si="4"/>
        <v>49551.313719182639</v>
      </c>
      <c r="T8" s="29">
        <f t="shared" si="4"/>
        <v>46160</v>
      </c>
      <c r="U8" s="29">
        <f t="shared" si="4"/>
        <v>73721</v>
      </c>
      <c r="V8" s="29">
        <f t="shared" si="4"/>
        <v>45862</v>
      </c>
      <c r="W8" s="30">
        <f t="shared" si="4"/>
        <v>40135</v>
      </c>
      <c r="Z8" s="1"/>
      <c r="AA8" s="1"/>
    </row>
    <row r="9" spans="1:27" x14ac:dyDescent="0.25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Z9" s="1"/>
      <c r="AA9" s="1"/>
    </row>
    <row r="10" spans="1:27" ht="13.8" thickBot="1" x14ac:dyDescent="0.3"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27" ht="13.8" thickBot="1" x14ac:dyDescent="0.3">
      <c r="A11" s="19" t="s">
        <v>24</v>
      </c>
      <c r="B11" s="119" t="s">
        <v>170</v>
      </c>
      <c r="C11" s="44" t="s">
        <v>171</v>
      </c>
      <c r="D11" s="67" t="s">
        <v>168</v>
      </c>
      <c r="E11" s="91">
        <v>45778</v>
      </c>
      <c r="F11" s="97">
        <v>45413</v>
      </c>
      <c r="G11" s="97">
        <v>45047</v>
      </c>
      <c r="H11" s="97">
        <v>44682</v>
      </c>
      <c r="I11" s="97">
        <v>44317</v>
      </c>
      <c r="J11" s="97">
        <v>43952</v>
      </c>
      <c r="K11" s="97">
        <v>43586</v>
      </c>
      <c r="L11" s="97">
        <v>43221</v>
      </c>
      <c r="M11" s="20">
        <v>42856</v>
      </c>
      <c r="N11" s="20">
        <v>42491</v>
      </c>
      <c r="O11" s="20">
        <v>42125</v>
      </c>
      <c r="P11" s="20">
        <v>41760</v>
      </c>
      <c r="Q11" s="20">
        <v>41395</v>
      </c>
      <c r="R11" s="20">
        <v>41030</v>
      </c>
      <c r="S11" s="20">
        <v>40664</v>
      </c>
      <c r="T11" s="20">
        <v>40299</v>
      </c>
      <c r="U11" s="20">
        <v>39934</v>
      </c>
      <c r="V11" s="20">
        <v>39569</v>
      </c>
      <c r="W11" s="21">
        <v>39203</v>
      </c>
    </row>
    <row r="12" spans="1:27" x14ac:dyDescent="0.25">
      <c r="A12" s="16" t="s">
        <v>37</v>
      </c>
      <c r="B12" s="22">
        <f t="shared" ref="B12:B17" si="5">IFERROR(((E12-F12)/F12),"")</f>
        <v>-0.44339622641509435</v>
      </c>
      <c r="C12" s="102">
        <v>-54</v>
      </c>
      <c r="D12" s="1">
        <v>-107</v>
      </c>
      <c r="E12" s="92">
        <v>59</v>
      </c>
      <c r="F12" s="1">
        <v>106</v>
      </c>
      <c r="G12" s="1">
        <v>258.79595848782822</v>
      </c>
      <c r="H12" s="1">
        <v>196.54607557201513</v>
      </c>
      <c r="I12" s="1">
        <v>569.43159996737029</v>
      </c>
      <c r="J12" s="1">
        <v>381.58372637194446</v>
      </c>
      <c r="K12" s="1">
        <v>287.74257819928732</v>
      </c>
      <c r="L12" s="1">
        <v>440</v>
      </c>
      <c r="M12" s="1">
        <v>424</v>
      </c>
      <c r="N12" s="1">
        <v>139.26667758805868</v>
      </c>
      <c r="O12" s="1">
        <v>39.170287745711697</v>
      </c>
      <c r="P12" s="1">
        <v>1110.6048561530492</v>
      </c>
      <c r="Q12" s="1">
        <v>0</v>
      </c>
      <c r="R12" s="1">
        <v>1796.1608987079055</v>
      </c>
      <c r="S12" s="1">
        <v>967.82542476351398</v>
      </c>
      <c r="T12" s="1">
        <v>522</v>
      </c>
      <c r="U12" s="1">
        <v>284</v>
      </c>
      <c r="V12" s="1">
        <v>287</v>
      </c>
      <c r="W12" s="24">
        <v>1653</v>
      </c>
    </row>
    <row r="13" spans="1:27" x14ac:dyDescent="0.25">
      <c r="A13" s="16" t="s">
        <v>38</v>
      </c>
      <c r="B13" s="22">
        <f t="shared" si="5"/>
        <v>39</v>
      </c>
      <c r="C13" s="102">
        <v>-315</v>
      </c>
      <c r="D13" s="1">
        <v>-106</v>
      </c>
      <c r="E13" s="92">
        <v>480</v>
      </c>
      <c r="F13" s="1">
        <v>12</v>
      </c>
      <c r="G13" s="1">
        <v>415.13916399782795</v>
      </c>
      <c r="H13" s="1">
        <v>128.46891797569245</v>
      </c>
      <c r="I13" s="1">
        <v>1378.2395653683398</v>
      </c>
      <c r="J13" s="1">
        <v>135.62027529308193</v>
      </c>
      <c r="K13" s="1">
        <v>359.23662885991445</v>
      </c>
      <c r="L13" s="1">
        <v>1580</v>
      </c>
      <c r="M13" s="1">
        <v>163</v>
      </c>
      <c r="N13" s="1">
        <v>524.52251944030786</v>
      </c>
      <c r="O13" s="1">
        <v>965.5811674641468</v>
      </c>
      <c r="P13" s="1">
        <v>1389.8645323967746</v>
      </c>
      <c r="Q13" s="1">
        <v>251.56493920175487</v>
      </c>
      <c r="R13" s="1">
        <v>1496.5775096917525</v>
      </c>
      <c r="S13" s="1">
        <v>2776.1818778763163</v>
      </c>
      <c r="T13" s="1">
        <v>2076</v>
      </c>
      <c r="U13" s="1">
        <v>895</v>
      </c>
      <c r="V13" s="1">
        <v>4128</v>
      </c>
      <c r="W13" s="24">
        <v>1996</v>
      </c>
      <c r="Z13" s="1"/>
      <c r="AA13" s="1"/>
    </row>
    <row r="14" spans="1:27" x14ac:dyDescent="0.25">
      <c r="A14" s="16" t="s">
        <v>7</v>
      </c>
      <c r="B14" s="22">
        <f t="shared" si="5"/>
        <v>-0.62108122792719367</v>
      </c>
      <c r="C14" s="102">
        <v>-3307</v>
      </c>
      <c r="D14" s="1">
        <v>-6635</v>
      </c>
      <c r="E14" s="92">
        <v>6974</v>
      </c>
      <c r="F14" s="1">
        <v>18405</v>
      </c>
      <c r="G14" s="1">
        <v>9350.8600709347993</v>
      </c>
      <c r="H14" s="1">
        <v>20032.408496427201</v>
      </c>
      <c r="I14" s="1">
        <v>14430.834473057768</v>
      </c>
      <c r="J14" s="1">
        <v>14896.885301426837</v>
      </c>
      <c r="K14" s="1">
        <v>16150.95205406375</v>
      </c>
      <c r="L14" s="1">
        <v>17165</v>
      </c>
      <c r="M14" s="1">
        <v>10885</v>
      </c>
      <c r="N14" s="1">
        <v>18151.950017494753</v>
      </c>
      <c r="O14" s="1">
        <v>17427.927569044899</v>
      </c>
      <c r="P14" s="1">
        <v>19470.882840444927</v>
      </c>
      <c r="Q14" s="1">
        <v>4682.0793744747552</v>
      </c>
      <c r="R14" s="1">
        <v>35647.406296364155</v>
      </c>
      <c r="S14" s="1">
        <v>24302.841842360544</v>
      </c>
      <c r="T14" s="1">
        <v>18299</v>
      </c>
      <c r="U14" s="1">
        <v>19579</v>
      </c>
      <c r="V14" s="1">
        <v>11982</v>
      </c>
      <c r="W14" s="24">
        <v>20883</v>
      </c>
      <c r="Z14" s="1"/>
      <c r="AA14" s="1"/>
    </row>
    <row r="15" spans="1:27" x14ac:dyDescent="0.25">
      <c r="A15" s="16" t="s">
        <v>110</v>
      </c>
      <c r="B15" s="22" t="str">
        <f t="shared" si="5"/>
        <v/>
      </c>
      <c r="C15" s="102">
        <v>0</v>
      </c>
      <c r="D15" s="1">
        <v>0</v>
      </c>
      <c r="E15" s="92"/>
      <c r="F15" s="1"/>
      <c r="G15" s="1"/>
      <c r="H15" s="1"/>
      <c r="I15" s="1"/>
      <c r="J15" s="1">
        <v>0</v>
      </c>
      <c r="K15" s="1"/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/>
      <c r="U15" s="1"/>
      <c r="V15" s="1"/>
      <c r="W15" s="24"/>
      <c r="Z15" s="1"/>
      <c r="AA15" s="1"/>
    </row>
    <row r="16" spans="1:27" ht="13.8" thickBot="1" x14ac:dyDescent="0.3">
      <c r="A16" s="16" t="s">
        <v>57</v>
      </c>
      <c r="B16" s="22">
        <f t="shared" si="5"/>
        <v>0.41176470588235292</v>
      </c>
      <c r="C16" s="102">
        <v>-279</v>
      </c>
      <c r="D16" s="1">
        <v>-193</v>
      </c>
      <c r="E16" s="92">
        <v>24</v>
      </c>
      <c r="F16" s="9">
        <v>17</v>
      </c>
      <c r="G16" s="9">
        <v>42.8349375136319</v>
      </c>
      <c r="H16" s="9">
        <v>16.836566068066983</v>
      </c>
      <c r="I16" s="9">
        <v>288.75462855208855</v>
      </c>
      <c r="J16" s="9">
        <v>608.57169121767231</v>
      </c>
      <c r="K16" s="9">
        <v>425</v>
      </c>
      <c r="L16" s="9">
        <v>374</v>
      </c>
      <c r="M16" s="9">
        <v>389</v>
      </c>
      <c r="N16" s="9">
        <v>240.15361307793779</v>
      </c>
      <c r="O16" s="9">
        <v>26.22904396641961</v>
      </c>
      <c r="P16" s="9">
        <v>156.92056791536888</v>
      </c>
      <c r="Q16" s="9">
        <v>7</v>
      </c>
      <c r="R16" s="9">
        <v>820.4694172908446</v>
      </c>
      <c r="S16" s="9">
        <v>465.41065380652441</v>
      </c>
      <c r="T16" s="9">
        <v>594</v>
      </c>
      <c r="U16" s="9">
        <v>376</v>
      </c>
      <c r="V16" s="9">
        <v>783</v>
      </c>
      <c r="W16" s="26">
        <v>1377</v>
      </c>
      <c r="Z16" s="1"/>
      <c r="AA16" s="1"/>
    </row>
    <row r="17" spans="1:27" ht="13.8" thickBot="1" x14ac:dyDescent="0.3">
      <c r="A17" s="19" t="s">
        <v>22</v>
      </c>
      <c r="B17" s="108">
        <f t="shared" si="5"/>
        <v>-0.59347357065803663</v>
      </c>
      <c r="C17" s="109">
        <v>-3955</v>
      </c>
      <c r="D17" s="41">
        <v>-7041</v>
      </c>
      <c r="E17" s="40">
        <f t="shared" ref="E17" si="6">SUM(E12:E16)</f>
        <v>7537</v>
      </c>
      <c r="F17" s="29">
        <f t="shared" ref="F17:K17" si="7">SUM(F12:F16)</f>
        <v>18540</v>
      </c>
      <c r="G17" s="29">
        <f t="shared" si="7"/>
        <v>10067.630130934087</v>
      </c>
      <c r="H17" s="29">
        <f t="shared" si="7"/>
        <v>20374.260056042978</v>
      </c>
      <c r="I17" s="29">
        <f t="shared" si="7"/>
        <v>16667.260266945566</v>
      </c>
      <c r="J17" s="29">
        <f t="shared" si="7"/>
        <v>16022.660994309535</v>
      </c>
      <c r="K17" s="29">
        <f t="shared" si="7"/>
        <v>17222.931261122951</v>
      </c>
      <c r="L17" s="29">
        <f t="shared" ref="L17:Q17" si="8">SUM(L12:L16)</f>
        <v>19559</v>
      </c>
      <c r="M17" s="29">
        <f t="shared" si="8"/>
        <v>11861</v>
      </c>
      <c r="N17" s="29">
        <f t="shared" si="8"/>
        <v>19055.892827601059</v>
      </c>
      <c r="O17" s="29">
        <f t="shared" si="8"/>
        <v>18458.908068221179</v>
      </c>
      <c r="P17" s="29">
        <f t="shared" si="8"/>
        <v>22128.272796910118</v>
      </c>
      <c r="Q17" s="29">
        <f t="shared" si="8"/>
        <v>4940.6443136765101</v>
      </c>
      <c r="R17" s="29">
        <f t="shared" ref="R17:W17" si="9">SUM(R12:R16)</f>
        <v>39760.614122054656</v>
      </c>
      <c r="S17" s="29">
        <f t="shared" si="9"/>
        <v>28512.259798806899</v>
      </c>
      <c r="T17" s="29">
        <f t="shared" si="9"/>
        <v>21491</v>
      </c>
      <c r="U17" s="29">
        <f t="shared" si="9"/>
        <v>21134</v>
      </c>
      <c r="V17" s="29">
        <f t="shared" si="9"/>
        <v>17180</v>
      </c>
      <c r="W17" s="30">
        <f t="shared" si="9"/>
        <v>25909</v>
      </c>
      <c r="Z17" s="1"/>
      <c r="AA17" s="1"/>
    </row>
    <row r="20" spans="1:27" ht="13.8" x14ac:dyDescent="0.25">
      <c r="F20" s="99"/>
      <c r="G20" s="99"/>
      <c r="H20" s="99"/>
      <c r="I20" s="99"/>
      <c r="J20" s="99"/>
      <c r="K20" s="99"/>
      <c r="L20" s="88"/>
      <c r="M20" s="88"/>
    </row>
    <row r="21" spans="1:27" ht="13.8" x14ac:dyDescent="0.25">
      <c r="F21" s="100"/>
      <c r="G21" s="100"/>
      <c r="H21" s="100"/>
      <c r="I21" s="100"/>
      <c r="J21" s="100"/>
      <c r="K21" s="100"/>
      <c r="L21" s="88"/>
      <c r="M21" s="88"/>
    </row>
    <row r="22" spans="1:27" ht="13.8" x14ac:dyDescent="0.25">
      <c r="F22" s="33"/>
      <c r="G22" s="33"/>
      <c r="H22" s="33"/>
      <c r="I22" s="33"/>
      <c r="J22" s="33"/>
      <c r="K22" s="33"/>
      <c r="L22" s="88"/>
      <c r="M22" s="88"/>
    </row>
    <row r="23" spans="1:27" ht="13.8" x14ac:dyDescent="0.25">
      <c r="F23" s="100"/>
      <c r="G23" s="100"/>
      <c r="H23" s="100"/>
      <c r="I23" s="100"/>
      <c r="J23" s="100"/>
      <c r="K23" s="100"/>
      <c r="L23" s="88"/>
      <c r="M23" s="88"/>
    </row>
    <row r="24" spans="1:27" ht="17.399999999999999" x14ac:dyDescent="0.3">
      <c r="F24" s="100"/>
      <c r="G24" s="100"/>
      <c r="H24" s="100"/>
      <c r="I24" s="100"/>
      <c r="J24" s="100"/>
      <c r="K24" s="100"/>
      <c r="L24" s="88"/>
      <c r="M24" s="88"/>
      <c r="V24" s="5"/>
      <c r="W24" s="1"/>
      <c r="X24" s="1"/>
    </row>
    <row r="25" spans="1:27" ht="17.399999999999999" x14ac:dyDescent="0.3">
      <c r="F25" s="100"/>
      <c r="G25" s="100"/>
      <c r="H25" s="100"/>
      <c r="I25" s="100"/>
      <c r="J25" s="100"/>
      <c r="K25" s="100"/>
      <c r="L25" s="88"/>
      <c r="M25" s="88"/>
      <c r="V25" s="5"/>
      <c r="W25" s="1"/>
      <c r="X25" s="1"/>
    </row>
    <row r="26" spans="1:27" ht="17.399999999999999" x14ac:dyDescent="0.3">
      <c r="F26" s="100"/>
      <c r="G26" s="100"/>
      <c r="H26" s="100"/>
      <c r="I26" s="100"/>
      <c r="J26" s="100"/>
      <c r="K26" s="100"/>
      <c r="L26" s="88"/>
      <c r="M26" s="88"/>
      <c r="V26" s="5"/>
      <c r="W26" s="1"/>
      <c r="X26" s="1"/>
    </row>
    <row r="27" spans="1:27" ht="17.399999999999999" x14ac:dyDescent="0.3">
      <c r="F27" s="101"/>
      <c r="G27" s="101"/>
      <c r="H27" s="101"/>
      <c r="I27" s="101"/>
      <c r="J27" s="101"/>
      <c r="K27" s="101"/>
      <c r="L27" s="89"/>
      <c r="M27" s="89"/>
      <c r="V27" s="5"/>
      <c r="W27" s="1"/>
      <c r="X27" s="1"/>
    </row>
    <row r="28" spans="1:27" ht="17.399999999999999" x14ac:dyDescent="0.3">
      <c r="F28" s="100"/>
      <c r="G28" s="100"/>
      <c r="H28" s="100"/>
      <c r="I28" s="100"/>
      <c r="J28" s="100"/>
      <c r="K28" s="100"/>
      <c r="L28" s="88"/>
      <c r="M28" s="88"/>
      <c r="V28" s="5"/>
      <c r="W28" s="1"/>
      <c r="X28" s="1"/>
    </row>
    <row r="29" spans="1:27" ht="17.399999999999999" x14ac:dyDescent="0.3">
      <c r="F29" s="99"/>
      <c r="G29" s="99"/>
      <c r="H29" s="99"/>
      <c r="I29" s="99"/>
      <c r="J29" s="99"/>
      <c r="K29" s="99"/>
      <c r="L29" s="88"/>
      <c r="M29" s="88"/>
      <c r="V29" s="5"/>
      <c r="W29" s="1"/>
      <c r="X29" s="1"/>
    </row>
    <row r="30" spans="1:27" ht="17.399999999999999" x14ac:dyDescent="0.3">
      <c r="F30" s="99"/>
      <c r="G30" s="99"/>
      <c r="H30" s="99"/>
      <c r="I30" s="99"/>
      <c r="J30" s="99"/>
      <c r="K30" s="99"/>
      <c r="L30" s="88"/>
      <c r="M30" s="88"/>
      <c r="V30" s="5"/>
      <c r="W30" s="1"/>
      <c r="X30" s="1"/>
    </row>
    <row r="31" spans="1:27" ht="17.399999999999999" x14ac:dyDescent="0.3">
      <c r="F31" s="100"/>
      <c r="G31" s="100"/>
      <c r="H31" s="100"/>
      <c r="I31" s="100"/>
      <c r="J31" s="100"/>
      <c r="K31" s="100"/>
      <c r="L31" s="88"/>
      <c r="M31" s="88"/>
      <c r="V31" s="5"/>
      <c r="W31" s="1"/>
      <c r="X31" s="1"/>
    </row>
    <row r="32" spans="1:27" ht="17.399999999999999" x14ac:dyDescent="0.3">
      <c r="F32" s="100"/>
      <c r="G32" s="100"/>
      <c r="H32" s="100"/>
      <c r="I32" s="100"/>
      <c r="J32" s="100"/>
      <c r="K32" s="100"/>
      <c r="L32" s="88"/>
      <c r="M32" s="88"/>
      <c r="V32" s="5"/>
      <c r="W32" s="1"/>
      <c r="X32" s="1"/>
    </row>
    <row r="33" spans="6:24" ht="17.399999999999999" x14ac:dyDescent="0.3">
      <c r="F33" s="100"/>
      <c r="G33" s="100"/>
      <c r="H33" s="100"/>
      <c r="I33" s="100"/>
      <c r="J33" s="100"/>
      <c r="K33" s="100"/>
      <c r="L33" s="88"/>
      <c r="M33" s="88"/>
      <c r="V33" s="5"/>
      <c r="W33" s="1"/>
      <c r="X33" s="1"/>
    </row>
    <row r="34" spans="6:24" ht="17.399999999999999" x14ac:dyDescent="0.3">
      <c r="F34" s="100"/>
      <c r="G34" s="100"/>
      <c r="H34" s="100"/>
      <c r="I34" s="100"/>
      <c r="J34" s="100"/>
      <c r="K34" s="100"/>
      <c r="L34" s="88"/>
      <c r="M34" s="88"/>
      <c r="V34" s="6"/>
      <c r="W34" s="1"/>
      <c r="X34" s="1"/>
    </row>
    <row r="35" spans="6:24" ht="18" x14ac:dyDescent="0.35">
      <c r="F35" s="100"/>
      <c r="G35" s="100"/>
      <c r="H35" s="100"/>
      <c r="I35" s="100"/>
      <c r="J35" s="100"/>
      <c r="K35" s="100"/>
      <c r="L35" s="88"/>
      <c r="M35" s="88"/>
      <c r="V35" s="7"/>
      <c r="W35" s="2"/>
      <c r="X35" s="2"/>
    </row>
    <row r="36" spans="6:24" ht="13.8" x14ac:dyDescent="0.25">
      <c r="F36" s="101"/>
      <c r="G36" s="101"/>
      <c r="H36" s="101"/>
      <c r="I36" s="101"/>
      <c r="J36" s="101"/>
      <c r="K36" s="101"/>
      <c r="L36" s="89"/>
      <c r="M36" s="89"/>
    </row>
  </sheetData>
  <conditionalFormatting sqref="E1">
    <cfRule type="expression" dxfId="7" priority="2">
      <formula>ISBLANK(XFD1)=FALSE</formula>
    </cfRule>
  </conditionalFormatting>
  <conditionalFormatting sqref="E11">
    <cfRule type="expression" dxfId="6" priority="1">
      <formula>ISBLANK(XFD11)=FALSE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46"/>
  <sheetViews>
    <sheetView zoomScaleNormal="100" workbookViewId="0"/>
  </sheetViews>
  <sheetFormatPr defaultColWidth="9.109375" defaultRowHeight="13.2" x14ac:dyDescent="0.25"/>
  <cols>
    <col min="1" max="1" width="21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1" width="11.6640625" customWidth="1"/>
    <col min="12" max="12" width="12" customWidth="1"/>
    <col min="13" max="23" width="10.109375" bestFit="1" customWidth="1"/>
  </cols>
  <sheetData>
    <row r="1" spans="1:23" ht="13.8" thickBot="1" x14ac:dyDescent="0.3">
      <c r="A1" s="34" t="s">
        <v>90</v>
      </c>
      <c r="B1" s="119" t="s">
        <v>170</v>
      </c>
      <c r="C1" s="44" t="s">
        <v>171</v>
      </c>
      <c r="D1" s="67" t="s">
        <v>168</v>
      </c>
      <c r="E1" s="91">
        <v>45778</v>
      </c>
      <c r="F1" s="97">
        <v>45413</v>
      </c>
      <c r="G1" s="97">
        <v>45047</v>
      </c>
      <c r="H1" s="97">
        <v>44682</v>
      </c>
      <c r="I1" s="97">
        <v>44317</v>
      </c>
      <c r="J1" s="111">
        <v>43952</v>
      </c>
      <c r="K1" s="97">
        <v>43586</v>
      </c>
      <c r="L1" s="97">
        <v>43221</v>
      </c>
      <c r="M1" s="20">
        <v>42856</v>
      </c>
      <c r="N1" s="20">
        <v>42491</v>
      </c>
      <c r="O1" s="20">
        <v>42125</v>
      </c>
      <c r="P1" s="20">
        <v>41760</v>
      </c>
      <c r="Q1" s="20">
        <v>41395</v>
      </c>
      <c r="R1" s="20">
        <v>41030</v>
      </c>
      <c r="S1" s="20">
        <v>40664</v>
      </c>
      <c r="T1" s="20">
        <v>40299</v>
      </c>
      <c r="U1" s="20">
        <v>39934</v>
      </c>
      <c r="V1" s="20">
        <v>39569</v>
      </c>
      <c r="W1" s="21">
        <v>39203</v>
      </c>
    </row>
    <row r="2" spans="1:23" x14ac:dyDescent="0.25">
      <c r="A2" s="16" t="s">
        <v>4</v>
      </c>
      <c r="B2" s="22">
        <f t="shared" ref="B2:B19" si="0">IFERROR(((E2-F2)/F2),"")</f>
        <v>168</v>
      </c>
      <c r="C2" s="102">
        <v>-330</v>
      </c>
      <c r="D2" s="1">
        <v>0</v>
      </c>
      <c r="E2" s="92">
        <v>169</v>
      </c>
      <c r="F2" s="1">
        <v>1</v>
      </c>
      <c r="G2" s="1">
        <v>0</v>
      </c>
      <c r="H2" s="1">
        <v>0</v>
      </c>
      <c r="I2" s="1">
        <v>0</v>
      </c>
      <c r="J2" s="50">
        <v>0</v>
      </c>
      <c r="K2" s="1"/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1</v>
      </c>
      <c r="W2" s="24">
        <v>1</v>
      </c>
    </row>
    <row r="3" spans="1:23" x14ac:dyDescent="0.25">
      <c r="A3" s="16" t="s">
        <v>11</v>
      </c>
      <c r="B3" s="22">
        <f t="shared" si="0"/>
        <v>0.34330985915492956</v>
      </c>
      <c r="C3" s="102">
        <v>-1307</v>
      </c>
      <c r="D3" s="1">
        <v>-1588</v>
      </c>
      <c r="E3" s="92">
        <v>3815</v>
      </c>
      <c r="F3" s="1">
        <v>2840</v>
      </c>
      <c r="G3" s="1">
        <v>2516</v>
      </c>
      <c r="H3" s="1">
        <v>2943</v>
      </c>
      <c r="I3" s="1">
        <v>3070</v>
      </c>
      <c r="J3" s="50">
        <v>1891</v>
      </c>
      <c r="K3" s="1">
        <f>4358+91</f>
        <v>4449</v>
      </c>
      <c r="L3" s="1">
        <f>431+4</f>
        <v>435</v>
      </c>
      <c r="M3" s="1">
        <v>2667</v>
      </c>
      <c r="N3" s="1">
        <v>2513</v>
      </c>
      <c r="O3" s="1">
        <v>2647</v>
      </c>
      <c r="P3" s="1">
        <v>3092</v>
      </c>
      <c r="Q3" s="1">
        <v>2278</v>
      </c>
      <c r="R3" s="1">
        <v>2501</v>
      </c>
      <c r="S3" s="1">
        <v>1534</v>
      </c>
      <c r="T3" s="1">
        <v>1695</v>
      </c>
      <c r="U3" s="1">
        <v>1094</v>
      </c>
      <c r="V3" s="1">
        <v>519</v>
      </c>
      <c r="W3" s="24">
        <v>229</v>
      </c>
    </row>
    <row r="4" spans="1:23" x14ac:dyDescent="0.25">
      <c r="A4" s="16" t="s">
        <v>5</v>
      </c>
      <c r="B4" s="22" t="str">
        <f t="shared" si="0"/>
        <v/>
      </c>
      <c r="C4" s="102">
        <v>0</v>
      </c>
      <c r="D4" s="1">
        <v>0</v>
      </c>
      <c r="E4" s="92">
        <v>0</v>
      </c>
      <c r="F4" s="1">
        <v>0</v>
      </c>
      <c r="G4" s="1">
        <v>0</v>
      </c>
      <c r="H4" s="1">
        <v>0</v>
      </c>
      <c r="I4" s="1">
        <v>0</v>
      </c>
      <c r="J4" s="50">
        <v>0</v>
      </c>
      <c r="K4" s="1"/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24">
        <v>0</v>
      </c>
    </row>
    <row r="5" spans="1:23" x14ac:dyDescent="0.25">
      <c r="A5" s="16" t="s">
        <v>2</v>
      </c>
      <c r="B5" s="22" t="str">
        <f t="shared" si="0"/>
        <v/>
      </c>
      <c r="C5" s="102">
        <v>0</v>
      </c>
      <c r="D5" s="1">
        <v>0</v>
      </c>
      <c r="E5" s="92">
        <v>0</v>
      </c>
      <c r="F5" s="1">
        <v>0</v>
      </c>
      <c r="G5" s="1">
        <v>0</v>
      </c>
      <c r="H5" s="1">
        <v>0</v>
      </c>
      <c r="I5" s="1">
        <v>0</v>
      </c>
      <c r="J5" s="50">
        <v>0</v>
      </c>
      <c r="K5" s="1"/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30</v>
      </c>
      <c r="S5" s="1">
        <v>0</v>
      </c>
      <c r="T5" s="1">
        <v>0</v>
      </c>
      <c r="U5" s="1">
        <v>0</v>
      </c>
      <c r="V5" s="1">
        <v>0</v>
      </c>
      <c r="W5" s="24">
        <v>0</v>
      </c>
    </row>
    <row r="6" spans="1:23" x14ac:dyDescent="0.25">
      <c r="A6" s="16" t="s">
        <v>9</v>
      </c>
      <c r="B6" s="22">
        <f t="shared" si="0"/>
        <v>0.61301886792452831</v>
      </c>
      <c r="C6" s="102">
        <v>-3184</v>
      </c>
      <c r="D6" s="1">
        <v>-2979</v>
      </c>
      <c r="E6" s="92">
        <v>8549</v>
      </c>
      <c r="F6" s="1">
        <v>5300</v>
      </c>
      <c r="G6" s="1">
        <v>4210</v>
      </c>
      <c r="H6" s="1">
        <v>9328</v>
      </c>
      <c r="I6" s="1">
        <v>8651</v>
      </c>
      <c r="J6" s="50">
        <v>7463</v>
      </c>
      <c r="K6" s="1">
        <f>7945+146</f>
        <v>8091</v>
      </c>
      <c r="L6" s="1">
        <v>1522</v>
      </c>
      <c r="M6" s="1">
        <v>4613</v>
      </c>
      <c r="N6" s="1">
        <v>6581</v>
      </c>
      <c r="O6" s="1">
        <v>4730</v>
      </c>
      <c r="P6" s="1">
        <v>5986</v>
      </c>
      <c r="Q6" s="1">
        <v>5077</v>
      </c>
      <c r="R6" s="1">
        <v>8074</v>
      </c>
      <c r="S6" s="1">
        <v>5654</v>
      </c>
      <c r="T6" s="1">
        <v>5865</v>
      </c>
      <c r="U6" s="1">
        <v>2201</v>
      </c>
      <c r="V6" s="1">
        <v>5090</v>
      </c>
      <c r="W6" s="24">
        <v>2664</v>
      </c>
    </row>
    <row r="7" spans="1:23" x14ac:dyDescent="0.25">
      <c r="A7" s="16" t="s">
        <v>111</v>
      </c>
      <c r="B7" s="22">
        <f t="shared" si="0"/>
        <v>31</v>
      </c>
      <c r="C7" s="102">
        <v>-1</v>
      </c>
      <c r="D7" s="1">
        <v>-3</v>
      </c>
      <c r="E7" s="92">
        <v>32</v>
      </c>
      <c r="F7" s="1">
        <v>1</v>
      </c>
      <c r="G7" s="1">
        <v>27</v>
      </c>
      <c r="H7" s="1">
        <v>30</v>
      </c>
      <c r="I7" s="1">
        <v>7</v>
      </c>
      <c r="J7" s="50">
        <v>3</v>
      </c>
      <c r="K7" s="1">
        <v>80</v>
      </c>
      <c r="L7" s="1">
        <v>0</v>
      </c>
      <c r="M7" s="1">
        <v>52</v>
      </c>
      <c r="N7" s="1">
        <v>39</v>
      </c>
      <c r="O7" s="1">
        <v>23</v>
      </c>
      <c r="P7" s="1">
        <v>60</v>
      </c>
      <c r="Q7" s="1">
        <v>70</v>
      </c>
      <c r="R7" s="1">
        <v>25</v>
      </c>
      <c r="S7" s="1">
        <v>310</v>
      </c>
      <c r="T7" s="1">
        <v>3</v>
      </c>
      <c r="U7" s="1">
        <v>199</v>
      </c>
      <c r="V7" s="1">
        <v>89</v>
      </c>
      <c r="W7" s="24">
        <v>180</v>
      </c>
    </row>
    <row r="8" spans="1:23" x14ac:dyDescent="0.25">
      <c r="A8" s="16" t="s">
        <v>3</v>
      </c>
      <c r="B8" s="22">
        <f t="shared" si="0"/>
        <v>0.27749576988155666</v>
      </c>
      <c r="C8" s="102">
        <v>-1074</v>
      </c>
      <c r="D8" s="1">
        <v>-1273</v>
      </c>
      <c r="E8" s="92">
        <v>6040</v>
      </c>
      <c r="F8" s="1">
        <v>4728</v>
      </c>
      <c r="G8" s="1">
        <v>4619</v>
      </c>
      <c r="H8" s="1">
        <v>5890</v>
      </c>
      <c r="I8" s="1">
        <v>5089</v>
      </c>
      <c r="J8" s="50">
        <v>5610</v>
      </c>
      <c r="K8" s="1">
        <f>5534+86</f>
        <v>5620</v>
      </c>
      <c r="L8" s="1">
        <v>3706</v>
      </c>
      <c r="M8" s="68">
        <v>7913</v>
      </c>
      <c r="N8" s="68">
        <v>6073</v>
      </c>
      <c r="O8" s="68">
        <v>7698</v>
      </c>
      <c r="P8" s="68">
        <v>5590</v>
      </c>
      <c r="Q8" s="68">
        <v>8179</v>
      </c>
      <c r="R8" s="68">
        <v>8252</v>
      </c>
      <c r="S8" s="68">
        <v>9163</v>
      </c>
      <c r="T8" s="68">
        <v>10020</v>
      </c>
      <c r="U8" s="68">
        <v>10516</v>
      </c>
      <c r="V8" s="1">
        <v>10029</v>
      </c>
      <c r="W8" s="24">
        <v>11362</v>
      </c>
    </row>
    <row r="9" spans="1:23" x14ac:dyDescent="0.25">
      <c r="A9" s="16" t="s">
        <v>17</v>
      </c>
      <c r="B9" s="22">
        <f t="shared" si="0"/>
        <v>1.2272727272727273</v>
      </c>
      <c r="C9" s="102">
        <v>-22</v>
      </c>
      <c r="D9" s="1">
        <v>-12</v>
      </c>
      <c r="E9" s="92">
        <v>98</v>
      </c>
      <c r="F9" s="1">
        <v>44</v>
      </c>
      <c r="G9" s="1">
        <v>77</v>
      </c>
      <c r="H9" s="1">
        <v>186</v>
      </c>
      <c r="I9" s="1">
        <v>9</v>
      </c>
      <c r="J9" s="50">
        <v>0</v>
      </c>
      <c r="K9" s="1">
        <v>69</v>
      </c>
      <c r="L9" s="1">
        <v>1</v>
      </c>
      <c r="M9" s="68">
        <v>1</v>
      </c>
      <c r="N9" s="68">
        <v>1</v>
      </c>
      <c r="O9" s="68">
        <v>2</v>
      </c>
      <c r="P9" s="68">
        <v>0</v>
      </c>
      <c r="Q9" s="68">
        <v>5</v>
      </c>
      <c r="R9" s="68">
        <v>0</v>
      </c>
      <c r="S9" s="68">
        <v>30</v>
      </c>
      <c r="T9" s="68">
        <v>2</v>
      </c>
      <c r="U9" s="68">
        <v>0</v>
      </c>
      <c r="V9" s="1">
        <v>0</v>
      </c>
      <c r="W9" s="24">
        <v>0</v>
      </c>
    </row>
    <row r="10" spans="1:23" x14ac:dyDescent="0.25">
      <c r="A10" s="16" t="s">
        <v>10</v>
      </c>
      <c r="B10" s="22">
        <f t="shared" si="0"/>
        <v>7.9615384615384617</v>
      </c>
      <c r="C10" s="102">
        <v>-24</v>
      </c>
      <c r="D10" s="1">
        <v>-68</v>
      </c>
      <c r="E10" s="92">
        <v>233</v>
      </c>
      <c r="F10" s="1">
        <v>26</v>
      </c>
      <c r="G10" s="1">
        <v>179</v>
      </c>
      <c r="H10" s="1">
        <v>238</v>
      </c>
      <c r="I10" s="1">
        <v>255</v>
      </c>
      <c r="J10" s="50">
        <v>38</v>
      </c>
      <c r="K10" s="1">
        <v>244</v>
      </c>
      <c r="L10" s="1">
        <v>4</v>
      </c>
      <c r="M10" s="68">
        <v>204</v>
      </c>
      <c r="N10" s="68">
        <v>607</v>
      </c>
      <c r="O10" s="68">
        <v>524</v>
      </c>
      <c r="P10" s="68">
        <v>971</v>
      </c>
      <c r="Q10" s="68">
        <v>635</v>
      </c>
      <c r="R10" s="68">
        <v>462</v>
      </c>
      <c r="S10" s="68">
        <v>1768</v>
      </c>
      <c r="T10" s="68">
        <v>1199</v>
      </c>
      <c r="U10" s="68">
        <v>1682</v>
      </c>
      <c r="V10" s="1">
        <v>544</v>
      </c>
      <c r="W10" s="24">
        <v>1836</v>
      </c>
    </row>
    <row r="11" spans="1:23" x14ac:dyDescent="0.25">
      <c r="A11" s="16" t="s">
        <v>26</v>
      </c>
      <c r="B11" s="22">
        <f t="shared" si="0"/>
        <v>2.2036659877800409</v>
      </c>
      <c r="C11" s="102">
        <v>-158</v>
      </c>
      <c r="D11" s="1">
        <v>-239</v>
      </c>
      <c r="E11" s="92">
        <v>1573</v>
      </c>
      <c r="F11" s="1">
        <v>491</v>
      </c>
      <c r="G11" s="1">
        <v>1221</v>
      </c>
      <c r="H11" s="1">
        <v>987</v>
      </c>
      <c r="I11" s="1">
        <v>641</v>
      </c>
      <c r="J11" s="50">
        <v>927</v>
      </c>
      <c r="K11" s="1">
        <v>1397</v>
      </c>
      <c r="L11" s="1">
        <v>0</v>
      </c>
      <c r="M11" s="68">
        <v>1862</v>
      </c>
      <c r="N11" s="68">
        <v>1305</v>
      </c>
      <c r="O11" s="68">
        <v>1688</v>
      </c>
      <c r="P11" s="68">
        <v>1679</v>
      </c>
      <c r="Q11" s="68">
        <v>1633</v>
      </c>
      <c r="R11" s="68">
        <v>2293</v>
      </c>
      <c r="S11" s="68">
        <v>1507</v>
      </c>
      <c r="T11" s="68">
        <v>1983</v>
      </c>
      <c r="U11" s="68">
        <v>1925</v>
      </c>
      <c r="V11" s="1">
        <v>1993</v>
      </c>
      <c r="W11" s="24">
        <v>2173</v>
      </c>
    </row>
    <row r="12" spans="1:23" x14ac:dyDescent="0.25">
      <c r="A12" s="16" t="s">
        <v>112</v>
      </c>
      <c r="B12" s="22" t="str">
        <f t="shared" si="0"/>
        <v/>
      </c>
      <c r="C12" s="102">
        <v>-11</v>
      </c>
      <c r="D12" s="1">
        <v>0</v>
      </c>
      <c r="E12" s="92">
        <v>154</v>
      </c>
      <c r="F12" s="1">
        <v>0</v>
      </c>
      <c r="G12" s="1">
        <v>0</v>
      </c>
      <c r="H12" s="1">
        <v>0</v>
      </c>
      <c r="I12" s="1">
        <v>2</v>
      </c>
      <c r="J12" s="50">
        <v>0</v>
      </c>
      <c r="K12" s="1">
        <v>126</v>
      </c>
      <c r="L12" s="1">
        <v>0</v>
      </c>
      <c r="M12" s="68">
        <v>32</v>
      </c>
      <c r="N12" s="68">
        <v>0</v>
      </c>
      <c r="O12" s="68">
        <v>42</v>
      </c>
      <c r="P12" s="68">
        <v>74</v>
      </c>
      <c r="Q12" s="68">
        <v>0</v>
      </c>
      <c r="R12" s="68">
        <v>10</v>
      </c>
      <c r="S12" s="68">
        <v>30</v>
      </c>
      <c r="T12" s="68">
        <v>0</v>
      </c>
      <c r="U12" s="68">
        <v>0</v>
      </c>
      <c r="V12" s="1">
        <v>1</v>
      </c>
      <c r="W12" s="24">
        <v>33</v>
      </c>
    </row>
    <row r="13" spans="1:23" x14ac:dyDescent="0.25">
      <c r="A13" s="16" t="s">
        <v>113</v>
      </c>
      <c r="B13" s="22">
        <f t="shared" si="0"/>
        <v>1.7272727272727273</v>
      </c>
      <c r="C13" s="102">
        <v>0</v>
      </c>
      <c r="D13" s="1">
        <v>0</v>
      </c>
      <c r="E13" s="92">
        <v>30</v>
      </c>
      <c r="F13" s="1">
        <v>11</v>
      </c>
      <c r="G13" s="1">
        <v>54</v>
      </c>
      <c r="H13" s="1">
        <v>55</v>
      </c>
      <c r="I13" s="1">
        <v>82</v>
      </c>
      <c r="J13" s="50">
        <v>16</v>
      </c>
      <c r="K13" s="1">
        <v>176</v>
      </c>
      <c r="L13" s="1">
        <v>6</v>
      </c>
      <c r="M13" s="68">
        <v>140</v>
      </c>
      <c r="N13" s="68">
        <v>235</v>
      </c>
      <c r="O13" s="68">
        <v>529</v>
      </c>
      <c r="P13" s="68">
        <v>471</v>
      </c>
      <c r="Q13" s="68">
        <v>898</v>
      </c>
      <c r="R13" s="68">
        <v>1132</v>
      </c>
      <c r="S13" s="68">
        <v>2753</v>
      </c>
      <c r="T13" s="68">
        <v>2565</v>
      </c>
      <c r="U13" s="68">
        <v>2046</v>
      </c>
      <c r="V13" s="1">
        <v>2709</v>
      </c>
      <c r="W13" s="24">
        <v>4252</v>
      </c>
    </row>
    <row r="14" spans="1:23" x14ac:dyDescent="0.25">
      <c r="A14" s="16" t="s">
        <v>13</v>
      </c>
      <c r="B14" s="22">
        <f t="shared" si="0"/>
        <v>1.325</v>
      </c>
      <c r="C14" s="102">
        <v>-131</v>
      </c>
      <c r="D14" s="1">
        <v>-85</v>
      </c>
      <c r="E14" s="92">
        <v>186</v>
      </c>
      <c r="F14" s="1">
        <v>80</v>
      </c>
      <c r="G14" s="1">
        <v>29</v>
      </c>
      <c r="H14" s="1">
        <v>84</v>
      </c>
      <c r="I14" s="1">
        <v>119</v>
      </c>
      <c r="J14" s="50">
        <v>5</v>
      </c>
      <c r="K14" s="1">
        <v>55</v>
      </c>
      <c r="L14" s="1">
        <v>0</v>
      </c>
      <c r="M14" s="68">
        <v>99</v>
      </c>
      <c r="N14" s="68">
        <v>45</v>
      </c>
      <c r="O14" s="68">
        <v>9</v>
      </c>
      <c r="P14" s="68">
        <v>168</v>
      </c>
      <c r="Q14" s="68">
        <v>375</v>
      </c>
      <c r="R14" s="68">
        <v>473</v>
      </c>
      <c r="S14" s="68">
        <v>347</v>
      </c>
      <c r="T14" s="68">
        <v>312</v>
      </c>
      <c r="U14" s="68">
        <v>190</v>
      </c>
      <c r="V14" s="1">
        <v>250</v>
      </c>
      <c r="W14" s="24">
        <v>200</v>
      </c>
    </row>
    <row r="15" spans="1:23" x14ac:dyDescent="0.25">
      <c r="A15" s="16" t="s">
        <v>114</v>
      </c>
      <c r="B15" s="22" t="str">
        <f t="shared" si="0"/>
        <v/>
      </c>
      <c r="C15" s="102">
        <v>0</v>
      </c>
      <c r="D15" s="1">
        <v>0</v>
      </c>
      <c r="E15" s="92">
        <v>0</v>
      </c>
      <c r="F15" s="1">
        <v>0</v>
      </c>
      <c r="G15" s="1">
        <v>0</v>
      </c>
      <c r="H15" s="1">
        <v>0</v>
      </c>
      <c r="I15" s="1">
        <v>0</v>
      </c>
      <c r="J15" s="50">
        <v>0</v>
      </c>
      <c r="K15" s="1">
        <v>4</v>
      </c>
      <c r="L15" s="1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1">
        <v>0</v>
      </c>
      <c r="W15" s="24">
        <v>0</v>
      </c>
    </row>
    <row r="16" spans="1:23" x14ac:dyDescent="0.25">
      <c r="A16" s="16" t="s">
        <v>95</v>
      </c>
      <c r="B16" s="22">
        <f t="shared" si="0"/>
        <v>10.08</v>
      </c>
      <c r="C16" s="102">
        <v>-181</v>
      </c>
      <c r="D16" s="1">
        <v>-87</v>
      </c>
      <c r="E16" s="92">
        <v>277</v>
      </c>
      <c r="F16" s="1">
        <v>25</v>
      </c>
      <c r="G16" s="1">
        <v>132</v>
      </c>
      <c r="H16" s="1">
        <v>21</v>
      </c>
      <c r="I16" s="1">
        <v>57</v>
      </c>
      <c r="J16" s="50">
        <v>1</v>
      </c>
      <c r="K16" s="1">
        <v>127</v>
      </c>
      <c r="L16" s="1">
        <v>0</v>
      </c>
      <c r="M16" s="68">
        <v>48</v>
      </c>
      <c r="N16" s="68">
        <v>82</v>
      </c>
      <c r="O16" s="68">
        <v>37</v>
      </c>
      <c r="P16" s="68">
        <v>322</v>
      </c>
      <c r="Q16" s="68">
        <v>116</v>
      </c>
      <c r="R16" s="68">
        <v>452</v>
      </c>
      <c r="S16" s="68">
        <v>174</v>
      </c>
      <c r="T16" s="68">
        <v>342</v>
      </c>
      <c r="U16" s="68">
        <v>105</v>
      </c>
      <c r="V16" s="1">
        <v>150</v>
      </c>
      <c r="W16" s="24">
        <v>128</v>
      </c>
    </row>
    <row r="17" spans="1:23" x14ac:dyDescent="0.25">
      <c r="A17" s="35" t="s">
        <v>86</v>
      </c>
      <c r="B17" s="22">
        <f t="shared" si="0"/>
        <v>1.263051396195872</v>
      </c>
      <c r="C17" s="102">
        <v>-1803</v>
      </c>
      <c r="D17" s="1">
        <v>-1572</v>
      </c>
      <c r="E17" s="92">
        <v>5592</v>
      </c>
      <c r="F17" s="1">
        <v>2471</v>
      </c>
      <c r="G17" s="1">
        <v>3901</v>
      </c>
      <c r="H17" s="1">
        <v>4527</v>
      </c>
      <c r="I17" s="1">
        <v>3505</v>
      </c>
      <c r="J17" s="50">
        <v>2598</v>
      </c>
      <c r="K17" s="1">
        <f>4796+80</f>
        <v>4876</v>
      </c>
      <c r="L17" s="1">
        <v>1585</v>
      </c>
      <c r="M17" s="68">
        <v>3337</v>
      </c>
      <c r="N17" s="68">
        <v>3205</v>
      </c>
      <c r="O17" s="68">
        <v>4900</v>
      </c>
      <c r="P17" s="68">
        <v>3785</v>
      </c>
      <c r="Q17" s="68">
        <v>1829</v>
      </c>
      <c r="R17" s="68">
        <v>2519</v>
      </c>
      <c r="S17" s="68">
        <v>668</v>
      </c>
      <c r="T17" s="68">
        <f>7+123+746</f>
        <v>876</v>
      </c>
      <c r="U17" s="68">
        <v>322</v>
      </c>
      <c r="V17" s="1">
        <v>183</v>
      </c>
      <c r="W17" s="24">
        <v>54</v>
      </c>
    </row>
    <row r="18" spans="1:23" ht="13.8" thickBot="1" x14ac:dyDescent="0.3">
      <c r="A18" s="18" t="s">
        <v>57</v>
      </c>
      <c r="B18" s="23">
        <f t="shared" si="0"/>
        <v>1.4500924214417745</v>
      </c>
      <c r="C18" s="103">
        <v>-699</v>
      </c>
      <c r="D18" s="9">
        <v>-586</v>
      </c>
      <c r="E18" s="93">
        <v>2651</v>
      </c>
      <c r="F18" s="9">
        <v>1082</v>
      </c>
      <c r="G18" s="9">
        <v>1564</v>
      </c>
      <c r="H18" s="9">
        <v>1186</v>
      </c>
      <c r="I18" s="9">
        <v>1688</v>
      </c>
      <c r="J18" s="54">
        <v>872</v>
      </c>
      <c r="K18" s="9">
        <f>160+249+1854+44+325+8</f>
        <v>2640</v>
      </c>
      <c r="L18" s="9">
        <f>41+123+47+2</f>
        <v>213</v>
      </c>
      <c r="M18" s="69">
        <v>1738</v>
      </c>
      <c r="N18" s="69">
        <v>491</v>
      </c>
      <c r="O18" s="69">
        <v>352</v>
      </c>
      <c r="P18" s="69">
        <v>548</v>
      </c>
      <c r="Q18" s="69">
        <v>179</v>
      </c>
      <c r="R18" s="69">
        <v>351</v>
      </c>
      <c r="S18" s="69">
        <v>163</v>
      </c>
      <c r="T18" s="69">
        <v>333</v>
      </c>
      <c r="U18" s="69">
        <v>171</v>
      </c>
      <c r="V18" s="9">
        <v>270</v>
      </c>
      <c r="W18" s="26">
        <v>193</v>
      </c>
    </row>
    <row r="19" spans="1:23" ht="13.8" thickBot="1" x14ac:dyDescent="0.3">
      <c r="A19" s="27" t="s">
        <v>22</v>
      </c>
      <c r="B19" s="28">
        <f t="shared" si="0"/>
        <v>0.71923976608187135</v>
      </c>
      <c r="C19" s="125">
        <v>-8925</v>
      </c>
      <c r="D19" s="29">
        <v>-8492</v>
      </c>
      <c r="E19" s="86">
        <f>SUM(E2:E18)</f>
        <v>29399</v>
      </c>
      <c r="F19" s="29">
        <f>SUM(F2:F18)</f>
        <v>17100</v>
      </c>
      <c r="G19" s="29">
        <f>SUM(G2:G18)</f>
        <v>18529</v>
      </c>
      <c r="H19" s="29">
        <f>SUM(H2:H18)</f>
        <v>25475</v>
      </c>
      <c r="I19" s="29">
        <f>SUM(I2:I18)</f>
        <v>23175</v>
      </c>
      <c r="J19" s="87">
        <v>19424</v>
      </c>
      <c r="K19" s="29">
        <f>SUM(K2:K18)</f>
        <v>27954</v>
      </c>
      <c r="L19" s="29">
        <f t="shared" ref="L19:Q19" si="1">SUM(L2:L18)</f>
        <v>7472</v>
      </c>
      <c r="M19" s="29">
        <f t="shared" si="1"/>
        <v>22706</v>
      </c>
      <c r="N19" s="29">
        <f t="shared" si="1"/>
        <v>21177</v>
      </c>
      <c r="O19" s="29">
        <f t="shared" si="1"/>
        <v>23181</v>
      </c>
      <c r="P19" s="29">
        <f t="shared" si="1"/>
        <v>22746</v>
      </c>
      <c r="Q19" s="29">
        <f t="shared" si="1"/>
        <v>21274</v>
      </c>
      <c r="R19" s="29">
        <f t="shared" ref="R19:W19" si="2">SUM(R2:R18)</f>
        <v>26574</v>
      </c>
      <c r="S19" s="29">
        <f t="shared" si="2"/>
        <v>24101</v>
      </c>
      <c r="T19" s="29">
        <f t="shared" si="2"/>
        <v>25195</v>
      </c>
      <c r="U19" s="29">
        <f t="shared" si="2"/>
        <v>20451</v>
      </c>
      <c r="V19" s="29">
        <f t="shared" si="2"/>
        <v>21828</v>
      </c>
      <c r="W19" s="30">
        <f t="shared" si="2"/>
        <v>23305</v>
      </c>
    </row>
    <row r="20" spans="1:23" x14ac:dyDescent="0.25">
      <c r="B20" s="31"/>
      <c r="C20" s="31"/>
      <c r="D20" s="31"/>
      <c r="E20" s="31"/>
      <c r="F20" s="31"/>
      <c r="G20" s="31"/>
      <c r="H20" s="31"/>
      <c r="I20" s="31"/>
      <c r="J20" s="110"/>
      <c r="K20" s="31"/>
      <c r="L20" s="31"/>
    </row>
    <row r="21" spans="1:23" ht="13.8" thickBot="1" x14ac:dyDescent="0.3">
      <c r="B21" s="31"/>
      <c r="C21" s="31"/>
      <c r="D21" s="31"/>
      <c r="E21" s="31"/>
      <c r="F21" s="31"/>
      <c r="G21" s="31"/>
      <c r="H21" s="31"/>
      <c r="I21" s="31"/>
      <c r="J21" s="110"/>
      <c r="K21" s="31"/>
      <c r="L21" s="31"/>
    </row>
    <row r="22" spans="1:23" ht="13.8" thickBot="1" x14ac:dyDescent="0.3">
      <c r="A22" s="19" t="s">
        <v>24</v>
      </c>
      <c r="B22" s="119" t="s">
        <v>170</v>
      </c>
      <c r="C22" s="44" t="s">
        <v>171</v>
      </c>
      <c r="D22" s="67" t="s">
        <v>168</v>
      </c>
      <c r="E22" s="91">
        <v>45778</v>
      </c>
      <c r="F22" s="97">
        <v>45413</v>
      </c>
      <c r="G22" s="97">
        <v>45047</v>
      </c>
      <c r="H22" s="97">
        <v>44682</v>
      </c>
      <c r="I22" s="97">
        <v>44317</v>
      </c>
      <c r="J22" s="111">
        <v>43952</v>
      </c>
      <c r="K22" s="97">
        <v>43586</v>
      </c>
      <c r="L22" s="97">
        <v>43221</v>
      </c>
      <c r="M22" s="20">
        <v>42856</v>
      </c>
      <c r="N22" s="20">
        <v>42491</v>
      </c>
      <c r="O22" s="20">
        <v>42125</v>
      </c>
      <c r="P22" s="20">
        <v>41760</v>
      </c>
      <c r="Q22" s="20">
        <v>41395</v>
      </c>
      <c r="R22" s="20">
        <v>41030</v>
      </c>
      <c r="S22" s="20">
        <v>40664</v>
      </c>
      <c r="T22" s="20">
        <v>40299</v>
      </c>
      <c r="U22" s="20">
        <v>39934</v>
      </c>
      <c r="V22" s="20">
        <v>39569</v>
      </c>
      <c r="W22" s="21">
        <v>39203</v>
      </c>
    </row>
    <row r="23" spans="1:23" x14ac:dyDescent="0.25">
      <c r="A23" s="16" t="s">
        <v>115</v>
      </c>
      <c r="B23" s="22">
        <f t="shared" ref="B23:B28" si="3">IFERROR(((E23-F23)/F23),"")</f>
        <v>2.3137254901960786</v>
      </c>
      <c r="C23" s="102">
        <v>-1030</v>
      </c>
      <c r="D23" s="1">
        <v>0</v>
      </c>
      <c r="E23" s="92">
        <v>676</v>
      </c>
      <c r="F23" s="1">
        <v>204</v>
      </c>
      <c r="G23" s="1">
        <v>0</v>
      </c>
      <c r="H23" s="1">
        <v>33</v>
      </c>
      <c r="I23" s="1">
        <v>822</v>
      </c>
      <c r="J23" s="50">
        <v>856</v>
      </c>
      <c r="K23" s="1">
        <v>641</v>
      </c>
      <c r="L23" s="1">
        <v>0</v>
      </c>
      <c r="M23" s="1">
        <v>1</v>
      </c>
      <c r="N23" s="1">
        <v>33</v>
      </c>
      <c r="O23" s="1">
        <v>508</v>
      </c>
      <c r="P23" s="1">
        <v>96</v>
      </c>
      <c r="Q23" s="1">
        <v>0</v>
      </c>
      <c r="R23" s="1">
        <v>296</v>
      </c>
      <c r="S23" s="1">
        <v>0</v>
      </c>
      <c r="T23" s="1">
        <v>99</v>
      </c>
      <c r="U23" s="1">
        <v>0</v>
      </c>
      <c r="V23" s="1">
        <v>68</v>
      </c>
      <c r="W23" s="24">
        <v>0</v>
      </c>
    </row>
    <row r="24" spans="1:23" x14ac:dyDescent="0.25">
      <c r="A24" s="16" t="s">
        <v>7</v>
      </c>
      <c r="B24" s="22">
        <f t="shared" si="3"/>
        <v>3</v>
      </c>
      <c r="C24" s="102">
        <v>-247</v>
      </c>
      <c r="D24" s="1">
        <v>0</v>
      </c>
      <c r="E24" s="92">
        <v>4</v>
      </c>
      <c r="F24" s="1">
        <v>1</v>
      </c>
      <c r="G24" s="1">
        <v>0</v>
      </c>
      <c r="H24" s="1">
        <v>0</v>
      </c>
      <c r="I24" s="1">
        <v>0</v>
      </c>
      <c r="J24" s="50">
        <v>0</v>
      </c>
      <c r="K24" s="1">
        <v>0</v>
      </c>
      <c r="L24" s="1">
        <v>0</v>
      </c>
      <c r="M24" s="1">
        <v>1</v>
      </c>
      <c r="N24" s="1">
        <v>0</v>
      </c>
      <c r="O24" s="1">
        <v>0</v>
      </c>
      <c r="P24" s="1">
        <v>0</v>
      </c>
      <c r="Q24" s="1">
        <v>0</v>
      </c>
      <c r="R24" s="1">
        <v>586</v>
      </c>
      <c r="S24" s="1">
        <v>0</v>
      </c>
      <c r="T24" s="1">
        <v>55</v>
      </c>
      <c r="U24" s="1">
        <v>0</v>
      </c>
      <c r="V24" s="1">
        <v>147</v>
      </c>
      <c r="W24" s="24">
        <v>0</v>
      </c>
    </row>
    <row r="25" spans="1:23" x14ac:dyDescent="0.25">
      <c r="A25" s="16" t="s">
        <v>116</v>
      </c>
      <c r="B25" s="22" t="str">
        <f t="shared" si="3"/>
        <v/>
      </c>
      <c r="C25" s="102">
        <v>-79</v>
      </c>
      <c r="D25" s="1">
        <v>0</v>
      </c>
      <c r="E25" s="92">
        <v>0</v>
      </c>
      <c r="F25" s="1">
        <v>0</v>
      </c>
      <c r="G25" s="1">
        <v>0</v>
      </c>
      <c r="H25" s="1">
        <v>0</v>
      </c>
      <c r="I25" s="1">
        <v>2</v>
      </c>
      <c r="J25" s="50">
        <v>0</v>
      </c>
      <c r="K25" s="1">
        <v>0</v>
      </c>
      <c r="L25" s="1">
        <v>0</v>
      </c>
      <c r="M25" s="1">
        <v>1</v>
      </c>
      <c r="N25" s="1">
        <v>0</v>
      </c>
      <c r="O25" s="1">
        <v>1</v>
      </c>
      <c r="P25" s="1">
        <v>0</v>
      </c>
      <c r="Q25" s="1">
        <v>0</v>
      </c>
      <c r="R25" s="1">
        <v>203</v>
      </c>
      <c r="S25" s="1">
        <v>0</v>
      </c>
      <c r="T25" s="1">
        <v>1</v>
      </c>
      <c r="U25" s="1">
        <v>0</v>
      </c>
      <c r="V25" s="1">
        <v>45</v>
      </c>
      <c r="W25" s="24">
        <v>0</v>
      </c>
    </row>
    <row r="26" spans="1:23" x14ac:dyDescent="0.25">
      <c r="A26" s="16" t="s">
        <v>140</v>
      </c>
      <c r="B26" s="22" t="str">
        <f t="shared" si="3"/>
        <v/>
      </c>
      <c r="C26" s="102">
        <v>0</v>
      </c>
      <c r="D26" s="1">
        <v>0</v>
      </c>
      <c r="E26" s="92">
        <v>0</v>
      </c>
      <c r="F26" s="1">
        <v>0</v>
      </c>
      <c r="G26" s="1">
        <v>0</v>
      </c>
      <c r="H26" s="1">
        <v>0</v>
      </c>
      <c r="I26" s="1">
        <v>0</v>
      </c>
      <c r="J26" s="50">
        <v>0</v>
      </c>
      <c r="K26" s="1">
        <v>0</v>
      </c>
      <c r="L26" s="1">
        <v>0</v>
      </c>
      <c r="M26" s="1">
        <v>0</v>
      </c>
      <c r="N26" s="1"/>
      <c r="O26" s="1"/>
      <c r="P26" s="1"/>
      <c r="Q26" s="1"/>
      <c r="R26" s="1"/>
      <c r="S26" s="1"/>
      <c r="T26" s="1"/>
      <c r="U26" s="1"/>
      <c r="V26" s="1"/>
      <c r="W26" s="24"/>
    </row>
    <row r="27" spans="1:23" ht="13.8" thickBot="1" x14ac:dyDescent="0.3">
      <c r="A27" s="25" t="s">
        <v>57</v>
      </c>
      <c r="B27" s="23">
        <f t="shared" si="3"/>
        <v>-0.77551020408163263</v>
      </c>
      <c r="C27" s="103">
        <v>-52</v>
      </c>
      <c r="D27" s="9">
        <v>0</v>
      </c>
      <c r="E27" s="93">
        <v>11</v>
      </c>
      <c r="F27" s="9">
        <v>49</v>
      </c>
      <c r="G27" s="9">
        <v>1</v>
      </c>
      <c r="H27" s="9">
        <v>4</v>
      </c>
      <c r="I27" s="9">
        <v>14</v>
      </c>
      <c r="J27" s="54">
        <v>0</v>
      </c>
      <c r="K27" s="9">
        <v>35</v>
      </c>
      <c r="L27" s="9">
        <v>0</v>
      </c>
      <c r="M27" s="9">
        <v>0</v>
      </c>
      <c r="N27" s="9">
        <v>0</v>
      </c>
      <c r="O27" s="9">
        <v>23</v>
      </c>
      <c r="P27" s="9">
        <v>0</v>
      </c>
      <c r="Q27" s="9">
        <v>0</v>
      </c>
      <c r="R27" s="9">
        <v>47</v>
      </c>
      <c r="S27" s="9">
        <v>0</v>
      </c>
      <c r="T27" s="9">
        <v>13</v>
      </c>
      <c r="U27" s="9">
        <v>0</v>
      </c>
      <c r="V27" s="9">
        <v>33</v>
      </c>
      <c r="W27" s="26">
        <v>1</v>
      </c>
    </row>
    <row r="28" spans="1:23" ht="13.8" thickBot="1" x14ac:dyDescent="0.3">
      <c r="A28" s="27" t="s">
        <v>22</v>
      </c>
      <c r="B28" s="28">
        <f t="shared" si="3"/>
        <v>1.7204724409448819</v>
      </c>
      <c r="C28" s="125">
        <v>-1408</v>
      </c>
      <c r="D28" s="29">
        <v>0</v>
      </c>
      <c r="E28" s="86">
        <f>SUM(E23:E27)</f>
        <v>691</v>
      </c>
      <c r="F28" s="29">
        <f>SUM(F23:F27)</f>
        <v>254</v>
      </c>
      <c r="G28" s="29">
        <f>SUM(G23:G27)</f>
        <v>1</v>
      </c>
      <c r="H28" s="29">
        <f>SUM(H23:H27)</f>
        <v>37</v>
      </c>
      <c r="I28" s="29">
        <f>SUM(I23:I27)</f>
        <v>838</v>
      </c>
      <c r="J28" s="87">
        <v>856</v>
      </c>
      <c r="K28" s="29">
        <f>SUM(K23:K27)</f>
        <v>676</v>
      </c>
      <c r="L28" s="29">
        <v>0</v>
      </c>
      <c r="M28" s="29">
        <f>SUM(M23:M27)</f>
        <v>3</v>
      </c>
      <c r="N28" s="29">
        <f>SUM(N23:N27)</f>
        <v>33</v>
      </c>
      <c r="O28" s="29">
        <f>SUM(O23:O27)</f>
        <v>532</v>
      </c>
      <c r="P28" s="29">
        <f>SUM(P23:P27)</f>
        <v>96</v>
      </c>
      <c r="Q28" s="29">
        <f>SUM(Q23:Q27)</f>
        <v>0</v>
      </c>
      <c r="R28" s="29">
        <f t="shared" ref="R28:W28" si="4">SUM(R23:R27)</f>
        <v>1132</v>
      </c>
      <c r="S28" s="29">
        <f t="shared" si="4"/>
        <v>0</v>
      </c>
      <c r="T28" s="29">
        <f t="shared" si="4"/>
        <v>168</v>
      </c>
      <c r="U28" s="29">
        <f t="shared" si="4"/>
        <v>0</v>
      </c>
      <c r="V28" s="29">
        <f t="shared" si="4"/>
        <v>293</v>
      </c>
      <c r="W28" s="30">
        <f t="shared" si="4"/>
        <v>1</v>
      </c>
    </row>
    <row r="35" spans="22:24" ht="17.399999999999999" x14ac:dyDescent="0.3">
      <c r="V35" s="5"/>
      <c r="W35" s="1"/>
      <c r="X35" s="1"/>
    </row>
    <row r="36" spans="22:24" ht="17.399999999999999" x14ac:dyDescent="0.3">
      <c r="V36" s="5"/>
      <c r="W36" s="1"/>
      <c r="X36" s="1"/>
    </row>
    <row r="37" spans="22:24" ht="17.399999999999999" x14ac:dyDescent="0.3">
      <c r="V37" s="5"/>
      <c r="W37" s="1"/>
      <c r="X37" s="1"/>
    </row>
    <row r="38" spans="22:24" ht="17.399999999999999" x14ac:dyDescent="0.3">
      <c r="V38" s="5"/>
      <c r="W38" s="1"/>
      <c r="X38" s="1"/>
    </row>
    <row r="39" spans="22:24" ht="17.399999999999999" x14ac:dyDescent="0.3">
      <c r="V39" s="5"/>
      <c r="W39" s="1"/>
      <c r="X39" s="1"/>
    </row>
    <row r="40" spans="22:24" ht="17.399999999999999" x14ac:dyDescent="0.3">
      <c r="V40" s="5"/>
      <c r="W40" s="1"/>
      <c r="X40" s="1"/>
    </row>
    <row r="41" spans="22:24" ht="17.399999999999999" x14ac:dyDescent="0.3">
      <c r="V41" s="5"/>
      <c r="W41" s="1"/>
      <c r="X41" s="1"/>
    </row>
    <row r="42" spans="22:24" ht="17.399999999999999" x14ac:dyDescent="0.3">
      <c r="V42" s="5"/>
      <c r="W42" s="1"/>
      <c r="X42" s="1"/>
    </row>
    <row r="43" spans="22:24" ht="17.399999999999999" x14ac:dyDescent="0.3">
      <c r="V43" s="5"/>
      <c r="W43" s="1"/>
      <c r="X43" s="1"/>
    </row>
    <row r="44" spans="22:24" ht="17.399999999999999" x14ac:dyDescent="0.3">
      <c r="V44" s="5"/>
      <c r="W44" s="1"/>
      <c r="X44" s="1"/>
    </row>
    <row r="45" spans="22:24" ht="17.399999999999999" x14ac:dyDescent="0.3">
      <c r="V45" s="6"/>
      <c r="W45" s="1"/>
      <c r="X45" s="1"/>
    </row>
    <row r="46" spans="22:24" ht="18" x14ac:dyDescent="0.35">
      <c r="V46" s="7"/>
      <c r="W46" s="2"/>
      <c r="X46" s="2"/>
    </row>
  </sheetData>
  <conditionalFormatting sqref="E1">
    <cfRule type="expression" dxfId="5" priority="2">
      <formula>ISBLANK(XFD1)=FALSE</formula>
    </cfRule>
  </conditionalFormatting>
  <conditionalFormatting sqref="E22">
    <cfRule type="expression" dxfId="4" priority="1">
      <formula>ISBLANK(XFD22)=FALSE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37"/>
  <sheetViews>
    <sheetView zoomScaleNormal="100" workbookViewId="0"/>
  </sheetViews>
  <sheetFormatPr defaultColWidth="9.109375" defaultRowHeight="13.2" x14ac:dyDescent="0.25"/>
  <cols>
    <col min="1" max="1" width="23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1" width="11.44140625" customWidth="1"/>
    <col min="12" max="12" width="11.109375" customWidth="1"/>
    <col min="13" max="23" width="10.109375" bestFit="1" customWidth="1"/>
    <col min="25" max="25" width="11" customWidth="1"/>
  </cols>
  <sheetData>
    <row r="1" spans="1:23" ht="13.8" thickBot="1" x14ac:dyDescent="0.3">
      <c r="A1" s="34" t="s">
        <v>90</v>
      </c>
      <c r="B1" s="119" t="s">
        <v>170</v>
      </c>
      <c r="C1" s="44" t="s">
        <v>171</v>
      </c>
      <c r="D1" s="67" t="s">
        <v>168</v>
      </c>
      <c r="E1" s="91">
        <v>45778</v>
      </c>
      <c r="F1" s="97">
        <v>45413</v>
      </c>
      <c r="G1" s="97">
        <v>45047</v>
      </c>
      <c r="H1" s="97">
        <v>44682</v>
      </c>
      <c r="I1" s="97">
        <v>44317</v>
      </c>
      <c r="J1" s="97">
        <v>43952</v>
      </c>
      <c r="K1" s="97">
        <v>43586</v>
      </c>
      <c r="L1" s="97">
        <v>43221</v>
      </c>
      <c r="M1" s="20">
        <v>42856</v>
      </c>
      <c r="N1" s="20">
        <v>42491</v>
      </c>
      <c r="O1" s="20">
        <v>42125</v>
      </c>
      <c r="P1" s="20">
        <v>41760</v>
      </c>
      <c r="Q1" s="20">
        <v>41395</v>
      </c>
      <c r="R1" s="20">
        <v>41030</v>
      </c>
      <c r="S1" s="20">
        <v>40664</v>
      </c>
      <c r="T1" s="20">
        <v>40299</v>
      </c>
      <c r="U1" s="20">
        <v>39934</v>
      </c>
      <c r="V1" s="20">
        <v>39569</v>
      </c>
      <c r="W1" s="21">
        <v>39203</v>
      </c>
    </row>
    <row r="2" spans="1:23" x14ac:dyDescent="0.25">
      <c r="A2" s="16" t="s">
        <v>4</v>
      </c>
      <c r="B2" s="22" t="str">
        <f t="shared" ref="B2:B8" si="0">IFERROR(((E2-F2)/F2),"")</f>
        <v/>
      </c>
      <c r="C2" s="102">
        <v>0</v>
      </c>
      <c r="D2" s="1">
        <v>-24.6</v>
      </c>
      <c r="E2" s="92">
        <v>0</v>
      </c>
      <c r="F2" s="1">
        <v>0</v>
      </c>
      <c r="G2" s="1">
        <v>350</v>
      </c>
      <c r="H2" s="1">
        <v>1145</v>
      </c>
      <c r="I2" s="1">
        <v>0</v>
      </c>
      <c r="J2" s="1">
        <v>0</v>
      </c>
      <c r="K2" s="1">
        <v>260</v>
      </c>
      <c r="L2" s="1">
        <v>0</v>
      </c>
      <c r="M2" s="1">
        <v>351</v>
      </c>
      <c r="N2" s="1">
        <v>867</v>
      </c>
      <c r="O2" s="1">
        <v>806</v>
      </c>
      <c r="P2" s="1">
        <v>1000</v>
      </c>
      <c r="Q2" s="1">
        <v>0</v>
      </c>
      <c r="R2" s="1">
        <v>0</v>
      </c>
      <c r="S2" s="1">
        <v>0</v>
      </c>
      <c r="T2" s="1">
        <v>0</v>
      </c>
      <c r="U2" s="1">
        <v>2000</v>
      </c>
      <c r="V2" s="1">
        <v>0</v>
      </c>
      <c r="W2" s="24">
        <v>1000</v>
      </c>
    </row>
    <row r="3" spans="1:23" x14ac:dyDescent="0.25">
      <c r="A3" s="16" t="s">
        <v>2</v>
      </c>
      <c r="B3" s="22">
        <f t="shared" si="0"/>
        <v>0.26765563585647267</v>
      </c>
      <c r="C3" s="102">
        <v>-7610.5999999999985</v>
      </c>
      <c r="D3" s="1">
        <v>-6398.4</v>
      </c>
      <c r="E3" s="92">
        <v>9998</v>
      </c>
      <c r="F3" s="1">
        <v>7887</v>
      </c>
      <c r="G3" s="1">
        <v>14069</v>
      </c>
      <c r="H3" s="1">
        <v>15270</v>
      </c>
      <c r="I3" s="1">
        <v>3672</v>
      </c>
      <c r="J3" s="1">
        <v>15605</v>
      </c>
      <c r="K3" s="1">
        <v>8759.9623000000011</v>
      </c>
      <c r="L3" s="1">
        <v>5127.21</v>
      </c>
      <c r="M3" s="1">
        <v>17500</v>
      </c>
      <c r="N3" s="1">
        <v>19264</v>
      </c>
      <c r="O3" s="1">
        <v>23869</v>
      </c>
      <c r="P3" s="1">
        <v>19000</v>
      </c>
      <c r="Q3" s="1">
        <v>9000</v>
      </c>
      <c r="R3" s="1">
        <v>21000</v>
      </c>
      <c r="S3" s="1">
        <v>12000</v>
      </c>
      <c r="T3" s="1">
        <v>21000</v>
      </c>
      <c r="U3" s="1">
        <v>20000</v>
      </c>
      <c r="V3" s="1">
        <v>17000</v>
      </c>
      <c r="W3" s="24">
        <v>19000</v>
      </c>
    </row>
    <row r="4" spans="1:23" x14ac:dyDescent="0.25">
      <c r="A4" s="16" t="s">
        <v>3</v>
      </c>
      <c r="B4" s="22">
        <f t="shared" si="0"/>
        <v>-0.72327520849128124</v>
      </c>
      <c r="C4" s="102">
        <v>-244</v>
      </c>
      <c r="D4" s="1">
        <v>-244</v>
      </c>
      <c r="E4" s="92">
        <v>365</v>
      </c>
      <c r="F4" s="1">
        <v>1319</v>
      </c>
      <c r="G4" s="1">
        <v>1483</v>
      </c>
      <c r="H4" s="1">
        <v>2141</v>
      </c>
      <c r="I4" s="1">
        <v>2276</v>
      </c>
      <c r="J4" s="1">
        <v>2550</v>
      </c>
      <c r="K4" s="1">
        <v>3577.431</v>
      </c>
      <c r="L4" s="1">
        <v>4072.252</v>
      </c>
      <c r="M4" s="1">
        <v>5529</v>
      </c>
      <c r="N4" s="1">
        <v>5923</v>
      </c>
      <c r="O4" s="1">
        <v>6319</v>
      </c>
      <c r="P4" s="1">
        <v>7000</v>
      </c>
      <c r="Q4" s="1">
        <v>7000</v>
      </c>
      <c r="R4" s="1">
        <v>7000</v>
      </c>
      <c r="S4" s="1">
        <v>6000</v>
      </c>
      <c r="T4" s="1">
        <v>8000</v>
      </c>
      <c r="U4" s="1">
        <v>10000</v>
      </c>
      <c r="V4" s="1">
        <v>8000</v>
      </c>
      <c r="W4" s="24">
        <v>9000</v>
      </c>
    </row>
    <row r="5" spans="1:23" x14ac:dyDescent="0.25">
      <c r="A5" s="16" t="s">
        <v>106</v>
      </c>
      <c r="B5" s="22">
        <f t="shared" si="0"/>
        <v>-0.22072488181274791</v>
      </c>
      <c r="C5" s="102">
        <v>-3032</v>
      </c>
      <c r="D5" s="1">
        <v>-3419.5999999999985</v>
      </c>
      <c r="E5" s="92">
        <v>14341</v>
      </c>
      <c r="F5" s="1">
        <v>18403</v>
      </c>
      <c r="G5" s="1">
        <v>23087</v>
      </c>
      <c r="H5" s="1">
        <v>27071</v>
      </c>
      <c r="I5" s="1">
        <v>18723</v>
      </c>
      <c r="J5" s="1">
        <v>27972</v>
      </c>
      <c r="K5" s="1">
        <v>27688.126799999998</v>
      </c>
      <c r="L5" s="1">
        <v>21547.937000000002</v>
      </c>
      <c r="M5" s="68">
        <v>39900</v>
      </c>
      <c r="N5" s="68">
        <v>37161</v>
      </c>
      <c r="O5" s="68">
        <v>41193</v>
      </c>
      <c r="P5" s="68">
        <v>38000</v>
      </c>
      <c r="Q5" s="68">
        <v>32000</v>
      </c>
      <c r="R5" s="68">
        <v>56000</v>
      </c>
      <c r="S5" s="68">
        <v>32000</v>
      </c>
      <c r="T5" s="68">
        <v>57000</v>
      </c>
      <c r="U5" s="68">
        <v>56000</v>
      </c>
      <c r="V5" s="1">
        <v>47000</v>
      </c>
      <c r="W5" s="24">
        <v>47000</v>
      </c>
    </row>
    <row r="6" spans="1:23" x14ac:dyDescent="0.25">
      <c r="A6" s="16" t="s">
        <v>133</v>
      </c>
      <c r="B6" s="22">
        <f t="shared" si="0"/>
        <v>-7.0605573419078249E-2</v>
      </c>
      <c r="C6" s="102">
        <v>-3143.2999999999993</v>
      </c>
      <c r="D6" s="1">
        <v>-4286.7000000000007</v>
      </c>
      <c r="E6" s="92">
        <v>6937</v>
      </c>
      <c r="F6" s="1">
        <v>7464</v>
      </c>
      <c r="G6" s="1">
        <v>14634</v>
      </c>
      <c r="H6" s="1">
        <v>11242</v>
      </c>
      <c r="I6" s="1">
        <v>5442</v>
      </c>
      <c r="J6" s="1">
        <v>7898</v>
      </c>
      <c r="K6" s="1">
        <v>16344.467199999999</v>
      </c>
      <c r="L6" s="1">
        <v>4179.29</v>
      </c>
      <c r="M6" s="68">
        <v>17732</v>
      </c>
      <c r="N6" s="68">
        <v>11737</v>
      </c>
      <c r="O6" s="68">
        <v>12206</v>
      </c>
      <c r="P6" s="68">
        <v>8000</v>
      </c>
      <c r="Q6" s="68"/>
      <c r="R6" s="68"/>
      <c r="S6" s="68"/>
      <c r="T6" s="68"/>
      <c r="U6" s="68"/>
      <c r="V6" s="1"/>
      <c r="W6" s="24"/>
    </row>
    <row r="7" spans="1:23" ht="13.8" thickBot="1" x14ac:dyDescent="0.3">
      <c r="A7" s="25" t="s">
        <v>57</v>
      </c>
      <c r="B7" s="23">
        <f t="shared" si="0"/>
        <v>0.91760299625468167</v>
      </c>
      <c r="C7" s="103">
        <v>-656.2</v>
      </c>
      <c r="D7" s="9">
        <v>-292.20000000000005</v>
      </c>
      <c r="E7" s="93">
        <v>512</v>
      </c>
      <c r="F7" s="9">
        <v>267</v>
      </c>
      <c r="G7" s="9">
        <v>772</v>
      </c>
      <c r="H7" s="9">
        <v>1994</v>
      </c>
      <c r="I7" s="9">
        <v>2076</v>
      </c>
      <c r="J7" s="9">
        <v>2330</v>
      </c>
      <c r="K7" s="9">
        <v>2509.77810000005</v>
      </c>
      <c r="L7" s="9">
        <v>2392.2689999999998</v>
      </c>
      <c r="M7" s="69">
        <v>2500</v>
      </c>
      <c r="N7" s="69">
        <v>1821</v>
      </c>
      <c r="O7" s="69">
        <v>2266</v>
      </c>
      <c r="P7" s="69">
        <v>4000</v>
      </c>
      <c r="Q7" s="69">
        <v>7000</v>
      </c>
      <c r="R7" s="69">
        <v>11000</v>
      </c>
      <c r="S7" s="69">
        <v>8000</v>
      </c>
      <c r="T7" s="69">
        <v>8000</v>
      </c>
      <c r="U7" s="69">
        <v>1000</v>
      </c>
      <c r="V7" s="9">
        <v>0</v>
      </c>
      <c r="W7" s="26">
        <v>2000</v>
      </c>
    </row>
    <row r="8" spans="1:23" ht="13.8" thickBot="1" x14ac:dyDescent="0.3">
      <c r="A8" s="27" t="s">
        <v>22</v>
      </c>
      <c r="B8" s="28">
        <f t="shared" si="0"/>
        <v>-9.0181097906055455E-2</v>
      </c>
      <c r="C8" s="125">
        <v>-14686.099999999991</v>
      </c>
      <c r="D8" s="29">
        <v>-14665.5</v>
      </c>
      <c r="E8" s="86">
        <f t="shared" ref="E8" si="1">SUM(E2:E7)</f>
        <v>32153</v>
      </c>
      <c r="F8" s="29">
        <f t="shared" ref="F8:K8" si="2">SUM(F2:F7)</f>
        <v>35340</v>
      </c>
      <c r="G8" s="29">
        <f t="shared" si="2"/>
        <v>54395</v>
      </c>
      <c r="H8" s="29">
        <f t="shared" si="2"/>
        <v>58863</v>
      </c>
      <c r="I8" s="29">
        <f t="shared" si="2"/>
        <v>32189</v>
      </c>
      <c r="J8" s="29">
        <f t="shared" si="2"/>
        <v>56355</v>
      </c>
      <c r="K8" s="29">
        <f t="shared" si="2"/>
        <v>59139.765400000048</v>
      </c>
      <c r="L8" s="29">
        <v>37318.957999999999</v>
      </c>
      <c r="M8" s="29">
        <v>83512</v>
      </c>
      <c r="N8" s="29">
        <v>76773</v>
      </c>
      <c r="O8" s="29">
        <v>86659</v>
      </c>
      <c r="P8" s="29">
        <f t="shared" ref="P8:W8" si="3">SUM(P2:P7)</f>
        <v>77000</v>
      </c>
      <c r="Q8" s="29">
        <f t="shared" si="3"/>
        <v>55000</v>
      </c>
      <c r="R8" s="29">
        <f t="shared" si="3"/>
        <v>95000</v>
      </c>
      <c r="S8" s="29">
        <f t="shared" si="3"/>
        <v>58000</v>
      </c>
      <c r="T8" s="29">
        <f t="shared" si="3"/>
        <v>94000</v>
      </c>
      <c r="U8" s="29">
        <f t="shared" si="3"/>
        <v>89000</v>
      </c>
      <c r="V8" s="29">
        <f t="shared" si="3"/>
        <v>72000</v>
      </c>
      <c r="W8" s="30">
        <f t="shared" si="3"/>
        <v>78000</v>
      </c>
    </row>
    <row r="9" spans="1:23" x14ac:dyDescent="0.25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23" ht="13.8" thickBot="1" x14ac:dyDescent="0.3"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23" ht="13.8" thickBot="1" x14ac:dyDescent="0.3">
      <c r="A11" s="19" t="s">
        <v>24</v>
      </c>
      <c r="B11" s="119" t="s">
        <v>170</v>
      </c>
      <c r="C11" s="44" t="s">
        <v>171</v>
      </c>
      <c r="D11" s="67" t="s">
        <v>168</v>
      </c>
      <c r="E11" s="91">
        <v>45778</v>
      </c>
      <c r="F11" s="97">
        <v>45413</v>
      </c>
      <c r="G11" s="97">
        <v>45047</v>
      </c>
      <c r="H11" s="97">
        <v>44682</v>
      </c>
      <c r="I11" s="97">
        <v>44317</v>
      </c>
      <c r="J11" s="97">
        <v>43952</v>
      </c>
      <c r="K11" s="97">
        <v>43586</v>
      </c>
      <c r="L11" s="97">
        <v>43221</v>
      </c>
      <c r="M11" s="20">
        <v>42856</v>
      </c>
      <c r="N11" s="20">
        <v>42491</v>
      </c>
      <c r="O11" s="20">
        <v>42125</v>
      </c>
      <c r="P11" s="20">
        <v>41760</v>
      </c>
      <c r="Q11" s="20">
        <v>41395</v>
      </c>
      <c r="R11" s="20">
        <v>41030</v>
      </c>
      <c r="S11" s="20">
        <v>40664</v>
      </c>
      <c r="T11" s="20">
        <v>40299</v>
      </c>
      <c r="U11" s="20">
        <v>39934</v>
      </c>
      <c r="V11" s="20">
        <v>39569</v>
      </c>
      <c r="W11" s="21">
        <v>39203</v>
      </c>
    </row>
    <row r="12" spans="1:23" x14ac:dyDescent="0.25">
      <c r="A12" s="16" t="s">
        <v>7</v>
      </c>
      <c r="B12" s="22">
        <f t="shared" ref="B12:B15" si="4">IFERROR(((E12-F12)/F12),"")</f>
        <v>-0.16351232945299787</v>
      </c>
      <c r="C12" s="102">
        <v>-25986.5</v>
      </c>
      <c r="D12" s="1">
        <v>-26824</v>
      </c>
      <c r="E12" s="92">
        <v>66827</v>
      </c>
      <c r="F12" s="1">
        <v>79890</v>
      </c>
      <c r="G12" s="1">
        <v>69246</v>
      </c>
      <c r="H12" s="1">
        <v>75403</v>
      </c>
      <c r="I12" s="1">
        <v>70021</v>
      </c>
      <c r="J12" s="1">
        <v>58790</v>
      </c>
      <c r="K12" s="1">
        <v>68086.420719999995</v>
      </c>
      <c r="L12" s="1">
        <v>61290.519</v>
      </c>
      <c r="M12" s="1">
        <v>69781</v>
      </c>
      <c r="N12" s="1">
        <v>62952</v>
      </c>
      <c r="O12" s="1">
        <v>53848</v>
      </c>
      <c r="P12" s="1">
        <v>45000</v>
      </c>
      <c r="Q12" s="1">
        <v>25000</v>
      </c>
      <c r="R12" s="1">
        <v>46000</v>
      </c>
      <c r="S12" s="1">
        <v>39000</v>
      </c>
      <c r="T12" s="1">
        <v>43000</v>
      </c>
      <c r="U12" s="1">
        <v>12000</v>
      </c>
      <c r="V12" s="1">
        <v>23000</v>
      </c>
      <c r="W12" s="24">
        <v>34000</v>
      </c>
    </row>
    <row r="13" spans="1:23" x14ac:dyDescent="0.25">
      <c r="A13" s="16" t="s">
        <v>99</v>
      </c>
      <c r="B13" s="22" t="str">
        <f t="shared" si="4"/>
        <v/>
      </c>
      <c r="C13" s="102">
        <v>270</v>
      </c>
      <c r="D13" s="1">
        <v>0</v>
      </c>
      <c r="E13" s="92">
        <v>270</v>
      </c>
      <c r="F13" s="1">
        <v>0</v>
      </c>
      <c r="G13" s="1">
        <v>0</v>
      </c>
      <c r="H13" s="1">
        <v>0</v>
      </c>
      <c r="I13" s="1">
        <v>0</v>
      </c>
      <c r="J13" s="1"/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/>
      <c r="R13" s="1"/>
      <c r="S13" s="1"/>
      <c r="T13" s="1"/>
      <c r="U13" s="1"/>
      <c r="V13" s="1"/>
      <c r="W13" s="24"/>
    </row>
    <row r="14" spans="1:23" ht="13.8" thickBot="1" x14ac:dyDescent="0.3">
      <c r="A14" s="25" t="s">
        <v>6</v>
      </c>
      <c r="B14" s="23">
        <f t="shared" si="4"/>
        <v>-1</v>
      </c>
      <c r="C14" s="103">
        <v>-1620</v>
      </c>
      <c r="D14" s="9">
        <v>-1511.3000000000002</v>
      </c>
      <c r="E14" s="93"/>
      <c r="F14" s="9">
        <v>1538</v>
      </c>
      <c r="G14" s="9">
        <v>2007</v>
      </c>
      <c r="H14" s="9">
        <v>2020</v>
      </c>
      <c r="I14" s="9">
        <v>508</v>
      </c>
      <c r="J14" s="9">
        <v>846</v>
      </c>
      <c r="K14" s="9">
        <v>1228.702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/>
      <c r="R14" s="9"/>
      <c r="S14" s="9"/>
      <c r="T14" s="9"/>
      <c r="U14" s="9"/>
      <c r="V14" s="9"/>
      <c r="W14" s="26"/>
    </row>
    <row r="15" spans="1:23" ht="13.8" thickBot="1" x14ac:dyDescent="0.3">
      <c r="A15" s="27" t="s">
        <v>22</v>
      </c>
      <c r="B15" s="28">
        <f t="shared" si="4"/>
        <v>-0.17599597190155719</v>
      </c>
      <c r="C15" s="125">
        <v>-27336.5</v>
      </c>
      <c r="D15" s="29">
        <v>-28335.300000000003</v>
      </c>
      <c r="E15" s="86">
        <f t="shared" ref="E15" si="5">SUM(E12:E14)</f>
        <v>67097</v>
      </c>
      <c r="F15" s="29">
        <f t="shared" ref="F15:K15" si="6">SUM(F12:F14)</f>
        <v>81428</v>
      </c>
      <c r="G15" s="29">
        <f t="shared" si="6"/>
        <v>71253</v>
      </c>
      <c r="H15" s="29">
        <f t="shared" si="6"/>
        <v>77423</v>
      </c>
      <c r="I15" s="29">
        <f t="shared" si="6"/>
        <v>70529</v>
      </c>
      <c r="J15" s="29">
        <f t="shared" si="6"/>
        <v>59636</v>
      </c>
      <c r="K15" s="29">
        <f t="shared" si="6"/>
        <v>69315.122719999999</v>
      </c>
      <c r="L15" s="29">
        <v>61290.519</v>
      </c>
      <c r="M15" s="29">
        <v>69781</v>
      </c>
      <c r="N15" s="29">
        <v>62952</v>
      </c>
      <c r="O15" s="29">
        <v>53848</v>
      </c>
      <c r="P15" s="29">
        <f>SUM(P12:P14)</f>
        <v>45000</v>
      </c>
      <c r="Q15" s="29">
        <f>SUM(Q12:Q14)</f>
        <v>25000</v>
      </c>
      <c r="R15" s="29">
        <f t="shared" ref="R15:W15" si="7">SUM(R12:R14)</f>
        <v>46000</v>
      </c>
      <c r="S15" s="29">
        <f t="shared" si="7"/>
        <v>39000</v>
      </c>
      <c r="T15" s="29">
        <f t="shared" si="7"/>
        <v>43000</v>
      </c>
      <c r="U15" s="29">
        <f t="shared" si="7"/>
        <v>12000</v>
      </c>
      <c r="V15" s="29">
        <f t="shared" si="7"/>
        <v>23000</v>
      </c>
      <c r="W15" s="30">
        <f t="shared" si="7"/>
        <v>34000</v>
      </c>
    </row>
    <row r="21" spans="4:24" ht="14.4" x14ac:dyDescent="0.25">
      <c r="D21" s="162"/>
      <c r="E21" s="162"/>
    </row>
    <row r="22" spans="4:24" ht="17.399999999999999" x14ac:dyDescent="0.3">
      <c r="D22" s="163"/>
      <c r="E22" s="163"/>
      <c r="V22" s="5"/>
      <c r="W22" s="1"/>
      <c r="X22" s="1"/>
    </row>
    <row r="23" spans="4:24" ht="17.399999999999999" x14ac:dyDescent="0.3">
      <c r="D23" s="163"/>
      <c r="E23" s="163"/>
      <c r="V23" s="5"/>
      <c r="W23" s="1"/>
      <c r="X23" s="1"/>
    </row>
    <row r="24" spans="4:24" ht="17.399999999999999" x14ac:dyDescent="0.3">
      <c r="D24" s="163"/>
      <c r="E24" s="163"/>
      <c r="V24" s="5"/>
      <c r="W24" s="1"/>
      <c r="X24" s="1"/>
    </row>
    <row r="25" spans="4:24" ht="17.399999999999999" x14ac:dyDescent="0.3">
      <c r="D25" s="163"/>
      <c r="E25" s="163"/>
      <c r="V25" s="5"/>
      <c r="W25" s="1"/>
      <c r="X25" s="1"/>
    </row>
    <row r="26" spans="4:24" ht="17.399999999999999" x14ac:dyDescent="0.3">
      <c r="D26" s="163"/>
      <c r="E26" s="163"/>
      <c r="V26" s="5"/>
      <c r="W26" s="1"/>
      <c r="X26" s="1"/>
    </row>
    <row r="27" spans="4:24" ht="17.399999999999999" x14ac:dyDescent="0.3">
      <c r="D27" s="163"/>
      <c r="E27" s="163"/>
      <c r="V27" s="5"/>
      <c r="W27" s="1"/>
      <c r="X27" s="1"/>
    </row>
    <row r="28" spans="4:24" ht="17.399999999999999" x14ac:dyDescent="0.3">
      <c r="D28" s="163"/>
      <c r="E28" s="163"/>
      <c r="V28" s="5"/>
      <c r="W28" s="1"/>
      <c r="X28" s="1"/>
    </row>
    <row r="29" spans="4:24" ht="17.399999999999999" x14ac:dyDescent="0.3">
      <c r="D29" s="163"/>
      <c r="E29" s="163"/>
      <c r="V29" s="5"/>
      <c r="W29" s="1"/>
      <c r="X29" s="1"/>
    </row>
    <row r="30" spans="4:24" ht="17.399999999999999" x14ac:dyDescent="0.3">
      <c r="D30" s="163"/>
      <c r="E30" s="163"/>
      <c r="V30" s="5"/>
      <c r="W30" s="1"/>
      <c r="X30" s="1"/>
    </row>
    <row r="31" spans="4:24" ht="17.399999999999999" x14ac:dyDescent="0.3">
      <c r="D31" s="163"/>
      <c r="E31" s="163"/>
      <c r="V31" s="5"/>
      <c r="W31" s="1"/>
      <c r="X31" s="1"/>
    </row>
    <row r="32" spans="4:24" ht="17.399999999999999" x14ac:dyDescent="0.3">
      <c r="D32" s="163"/>
      <c r="E32" s="163"/>
      <c r="V32" s="6"/>
      <c r="W32" s="1"/>
      <c r="X32" s="1"/>
    </row>
    <row r="33" spans="4:24" ht="18" x14ac:dyDescent="0.35">
      <c r="D33" s="163"/>
      <c r="E33" s="163"/>
      <c r="V33" s="7"/>
      <c r="W33" s="2"/>
      <c r="X33" s="2"/>
    </row>
    <row r="34" spans="4:24" x14ac:dyDescent="0.25">
      <c r="D34" s="163"/>
      <c r="E34" s="163"/>
    </row>
    <row r="35" spans="4:24" x14ac:dyDescent="0.25">
      <c r="D35" s="163"/>
      <c r="E35" s="163"/>
    </row>
    <row r="36" spans="4:24" x14ac:dyDescent="0.25">
      <c r="D36" s="163"/>
      <c r="E36" s="163"/>
    </row>
    <row r="37" spans="4:24" x14ac:dyDescent="0.25">
      <c r="D37" s="163"/>
      <c r="E37" s="163"/>
    </row>
  </sheetData>
  <conditionalFormatting sqref="E1">
    <cfRule type="expression" dxfId="3" priority="2">
      <formula>ISBLANK(XFD1)=FALSE</formula>
    </cfRule>
  </conditionalFormatting>
  <conditionalFormatting sqref="E11">
    <cfRule type="expression" dxfId="2" priority="1">
      <formula>ISBLANK(XFD11)=FALSE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W25"/>
  <sheetViews>
    <sheetView zoomScaleNormal="100" workbookViewId="0"/>
  </sheetViews>
  <sheetFormatPr defaultColWidth="9.109375" defaultRowHeight="13.2" x14ac:dyDescent="0.25"/>
  <cols>
    <col min="1" max="1" width="18.10937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1" width="11.44140625" customWidth="1"/>
    <col min="12" max="22" width="10.109375" bestFit="1" customWidth="1"/>
    <col min="23" max="23" width="11.21875" customWidth="1"/>
  </cols>
  <sheetData>
    <row r="1" spans="1:23" ht="13.8" thickBot="1" x14ac:dyDescent="0.3">
      <c r="A1" s="34" t="s">
        <v>90</v>
      </c>
      <c r="B1" s="119" t="s">
        <v>170</v>
      </c>
      <c r="C1" s="44" t="s">
        <v>171</v>
      </c>
      <c r="D1" s="67" t="s">
        <v>168</v>
      </c>
      <c r="E1" s="91">
        <v>45778</v>
      </c>
      <c r="F1" s="97">
        <v>45413</v>
      </c>
      <c r="G1" s="97">
        <v>45047</v>
      </c>
      <c r="H1" s="97">
        <v>44682</v>
      </c>
      <c r="I1" s="97">
        <v>44317</v>
      </c>
      <c r="J1" s="97">
        <v>43952</v>
      </c>
      <c r="K1" s="97">
        <v>43586</v>
      </c>
      <c r="L1" s="97">
        <v>43221</v>
      </c>
      <c r="M1" s="20">
        <v>42856</v>
      </c>
      <c r="N1" s="20">
        <v>42491</v>
      </c>
      <c r="O1" s="20">
        <v>42125</v>
      </c>
      <c r="P1" s="20">
        <v>41760</v>
      </c>
      <c r="Q1" s="20">
        <v>41395</v>
      </c>
      <c r="R1" s="20">
        <v>41030</v>
      </c>
      <c r="S1" s="20">
        <v>40664</v>
      </c>
      <c r="T1" s="20">
        <v>40299</v>
      </c>
      <c r="U1" s="20">
        <v>39934</v>
      </c>
      <c r="V1" s="20">
        <v>39569</v>
      </c>
      <c r="W1" s="21">
        <v>39203</v>
      </c>
    </row>
    <row r="2" spans="1:23" x14ac:dyDescent="0.25">
      <c r="A2" s="35" t="s">
        <v>11</v>
      </c>
      <c r="B2" s="42">
        <f t="shared" ref="B2:B12" si="0">IFERROR(((E2-F2)/F2),"")</f>
        <v>3.7984848484848484</v>
      </c>
      <c r="C2" s="104">
        <v>-4566</v>
      </c>
      <c r="D2" s="33">
        <v>-2390</v>
      </c>
      <c r="E2" s="92">
        <v>6334</v>
      </c>
      <c r="F2" s="33">
        <v>1320</v>
      </c>
      <c r="G2" s="33">
        <v>4445</v>
      </c>
      <c r="H2" s="33">
        <v>4284</v>
      </c>
      <c r="I2" s="33">
        <v>1682</v>
      </c>
      <c r="J2" s="33">
        <v>2581</v>
      </c>
      <c r="K2" s="33">
        <v>1721</v>
      </c>
      <c r="L2" s="33">
        <v>375</v>
      </c>
      <c r="M2" s="33"/>
      <c r="N2" s="33">
        <v>800</v>
      </c>
      <c r="O2" s="33">
        <v>100</v>
      </c>
      <c r="P2" s="33">
        <v>1000</v>
      </c>
      <c r="Q2" s="33">
        <v>0</v>
      </c>
      <c r="R2" s="33">
        <v>800</v>
      </c>
      <c r="S2" s="33">
        <v>0</v>
      </c>
      <c r="T2" s="33">
        <v>200</v>
      </c>
      <c r="U2" s="33">
        <v>0</v>
      </c>
      <c r="V2" s="33">
        <v>400</v>
      </c>
      <c r="W2" s="59"/>
    </row>
    <row r="3" spans="1:23" x14ac:dyDescent="0.25">
      <c r="A3" s="35" t="s">
        <v>35</v>
      </c>
      <c r="B3" s="42">
        <f t="shared" si="0"/>
        <v>3.0582627118644066</v>
      </c>
      <c r="C3" s="104">
        <v>-868</v>
      </c>
      <c r="D3" s="33">
        <v>-588</v>
      </c>
      <c r="E3" s="92">
        <v>3831</v>
      </c>
      <c r="F3" s="33">
        <v>944</v>
      </c>
      <c r="G3" s="33">
        <v>4208</v>
      </c>
      <c r="H3" s="33">
        <v>5663</v>
      </c>
      <c r="I3" s="33">
        <v>9051</v>
      </c>
      <c r="J3" s="33">
        <v>7087</v>
      </c>
      <c r="K3" s="33">
        <v>12250</v>
      </c>
      <c r="L3" s="33">
        <v>11000</v>
      </c>
      <c r="M3" s="33"/>
      <c r="N3" s="33">
        <v>9000</v>
      </c>
      <c r="O3" s="33">
        <v>19500</v>
      </c>
      <c r="P3" s="33">
        <v>20000</v>
      </c>
      <c r="Q3" s="33">
        <v>7000</v>
      </c>
      <c r="R3" s="33">
        <v>16000</v>
      </c>
      <c r="S3" s="33">
        <v>16000</v>
      </c>
      <c r="T3" s="33">
        <v>18000</v>
      </c>
      <c r="U3" s="33">
        <v>20000</v>
      </c>
      <c r="V3" s="33">
        <v>11000</v>
      </c>
      <c r="W3" s="59">
        <v>20000</v>
      </c>
    </row>
    <row r="4" spans="1:23" x14ac:dyDescent="0.25">
      <c r="A4" s="35" t="s">
        <v>28</v>
      </c>
      <c r="B4" s="42">
        <f t="shared" si="0"/>
        <v>74.2</v>
      </c>
      <c r="C4" s="104">
        <v>-688</v>
      </c>
      <c r="D4" s="33">
        <v>-306</v>
      </c>
      <c r="E4" s="92">
        <v>2256</v>
      </c>
      <c r="F4" s="33">
        <v>30</v>
      </c>
      <c r="G4" s="33">
        <v>2050</v>
      </c>
      <c r="H4" s="33">
        <v>545</v>
      </c>
      <c r="I4" s="33">
        <v>803</v>
      </c>
      <c r="J4" s="33">
        <v>116</v>
      </c>
      <c r="K4" s="33">
        <v>271</v>
      </c>
      <c r="L4" s="33">
        <v>0</v>
      </c>
      <c r="M4" s="33"/>
      <c r="N4" s="33">
        <v>850</v>
      </c>
      <c r="O4" s="33">
        <v>100</v>
      </c>
      <c r="P4" s="33">
        <v>0</v>
      </c>
      <c r="Q4" s="33">
        <v>0</v>
      </c>
      <c r="R4" s="33">
        <v>0</v>
      </c>
      <c r="S4" s="33">
        <v>0</v>
      </c>
      <c r="T4" s="33">
        <v>50</v>
      </c>
      <c r="U4" s="33"/>
      <c r="V4" s="33"/>
      <c r="W4" s="59"/>
    </row>
    <row r="5" spans="1:23" x14ac:dyDescent="0.25">
      <c r="A5" s="35" t="s">
        <v>5</v>
      </c>
      <c r="B5" s="42" t="str">
        <f t="shared" si="0"/>
        <v/>
      </c>
      <c r="C5" s="104">
        <v>0</v>
      </c>
      <c r="D5" s="33">
        <v>0</v>
      </c>
      <c r="E5" s="92"/>
      <c r="F5" s="33"/>
      <c r="G5" s="33">
        <v>102</v>
      </c>
      <c r="H5" s="33"/>
      <c r="I5" s="33"/>
      <c r="J5" s="33"/>
      <c r="K5" s="33">
        <v>15</v>
      </c>
      <c r="L5" s="33">
        <v>0</v>
      </c>
      <c r="M5" s="33"/>
      <c r="N5" s="33">
        <v>0</v>
      </c>
      <c r="O5" s="33">
        <v>0</v>
      </c>
      <c r="P5" s="33">
        <v>0</v>
      </c>
      <c r="Q5" s="33">
        <v>0</v>
      </c>
      <c r="R5" s="33">
        <v>0</v>
      </c>
      <c r="S5" s="33">
        <v>0</v>
      </c>
      <c r="T5" s="33">
        <v>0</v>
      </c>
      <c r="U5" s="33"/>
      <c r="V5" s="33"/>
      <c r="W5" s="59"/>
    </row>
    <row r="6" spans="1:23" x14ac:dyDescent="0.25">
      <c r="A6" s="35" t="s">
        <v>9</v>
      </c>
      <c r="B6" s="42">
        <f t="shared" si="0"/>
        <v>1.4485536433540827</v>
      </c>
      <c r="C6" s="104">
        <v>-6169</v>
      </c>
      <c r="D6" s="33">
        <v>-6915</v>
      </c>
      <c r="E6" s="92">
        <v>13374</v>
      </c>
      <c r="F6" s="33">
        <v>5462</v>
      </c>
      <c r="G6" s="33">
        <v>18901</v>
      </c>
      <c r="H6" s="33">
        <v>9992</v>
      </c>
      <c r="I6" s="33">
        <v>6036</v>
      </c>
      <c r="J6" s="33">
        <v>7625</v>
      </c>
      <c r="K6" s="33">
        <v>4965</v>
      </c>
      <c r="L6" s="33">
        <v>2243</v>
      </c>
      <c r="M6" s="33"/>
      <c r="N6" s="33">
        <v>2500</v>
      </c>
      <c r="O6" s="33">
        <v>0</v>
      </c>
      <c r="P6" s="33">
        <v>1500</v>
      </c>
      <c r="Q6" s="33">
        <v>0</v>
      </c>
      <c r="R6" s="33">
        <v>200</v>
      </c>
      <c r="S6" s="33">
        <v>0</v>
      </c>
      <c r="T6" s="33">
        <v>150</v>
      </c>
      <c r="U6" s="33"/>
      <c r="V6" s="33"/>
      <c r="W6" s="59"/>
    </row>
    <row r="7" spans="1:23" x14ac:dyDescent="0.25">
      <c r="A7" s="35" t="s">
        <v>26</v>
      </c>
      <c r="B7" s="42" t="str">
        <f t="shared" si="0"/>
        <v/>
      </c>
      <c r="C7" s="104">
        <v>0</v>
      </c>
      <c r="D7" s="33">
        <v>0</v>
      </c>
      <c r="E7" s="38"/>
      <c r="F7" s="33"/>
      <c r="G7" s="33"/>
      <c r="H7" s="33">
        <v>67</v>
      </c>
      <c r="I7" s="33"/>
      <c r="J7" s="33"/>
      <c r="K7" s="33">
        <v>482</v>
      </c>
      <c r="L7" s="33">
        <v>0</v>
      </c>
      <c r="M7" s="33"/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33"/>
      <c r="V7" s="33"/>
      <c r="W7" s="59"/>
    </row>
    <row r="8" spans="1:23" x14ac:dyDescent="0.25">
      <c r="A8" s="35" t="s">
        <v>25</v>
      </c>
      <c r="B8" s="120" t="str">
        <f t="shared" si="0"/>
        <v/>
      </c>
      <c r="C8" s="104">
        <v>0</v>
      </c>
      <c r="D8" s="33">
        <v>0</v>
      </c>
      <c r="E8" s="38"/>
      <c r="F8" s="33"/>
      <c r="G8" s="33"/>
      <c r="H8" s="33"/>
      <c r="I8" s="33"/>
      <c r="J8" s="33"/>
      <c r="K8" s="33"/>
      <c r="L8" s="33">
        <v>0</v>
      </c>
      <c r="M8" s="33"/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3"/>
      <c r="V8" s="33"/>
      <c r="W8" s="59"/>
    </row>
    <row r="9" spans="1:23" x14ac:dyDescent="0.25">
      <c r="A9" s="35" t="s">
        <v>34</v>
      </c>
      <c r="B9" s="120" t="str">
        <f t="shared" si="0"/>
        <v/>
      </c>
      <c r="C9" s="104">
        <v>0</v>
      </c>
      <c r="D9" s="33">
        <v>0</v>
      </c>
      <c r="E9" s="38"/>
      <c r="F9" s="33"/>
      <c r="G9" s="33"/>
      <c r="H9" s="33"/>
      <c r="I9" s="33"/>
      <c r="J9" s="33"/>
      <c r="K9" s="33"/>
      <c r="L9" s="33">
        <v>0</v>
      </c>
      <c r="M9" s="33"/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/>
      <c r="V9" s="33"/>
      <c r="W9" s="59"/>
    </row>
    <row r="10" spans="1:23" x14ac:dyDescent="0.25">
      <c r="A10" s="35" t="s">
        <v>133</v>
      </c>
      <c r="B10" s="120">
        <f t="shared" si="0"/>
        <v>0.46712689020381326</v>
      </c>
      <c r="C10" s="104">
        <v>-1563</v>
      </c>
      <c r="D10" s="33">
        <v>-1397</v>
      </c>
      <c r="E10" s="38">
        <v>4463</v>
      </c>
      <c r="F10" s="33">
        <v>3042</v>
      </c>
      <c r="G10" s="33">
        <v>5268</v>
      </c>
      <c r="H10" s="33"/>
      <c r="I10" s="33">
        <v>2495</v>
      </c>
      <c r="J10" s="33">
        <v>1391</v>
      </c>
      <c r="K10" s="33">
        <v>1395</v>
      </c>
      <c r="L10" s="33">
        <v>155</v>
      </c>
      <c r="M10" s="33"/>
      <c r="N10" s="33">
        <v>700</v>
      </c>
      <c r="O10" s="33">
        <v>600</v>
      </c>
      <c r="P10" s="33">
        <v>500</v>
      </c>
      <c r="Q10" s="33">
        <v>0</v>
      </c>
      <c r="R10" s="33">
        <v>300</v>
      </c>
      <c r="S10" s="33">
        <v>0</v>
      </c>
      <c r="T10" s="33">
        <v>100</v>
      </c>
      <c r="U10" s="33"/>
      <c r="V10" s="33"/>
      <c r="W10" s="59"/>
    </row>
    <row r="11" spans="1:23" ht="13.8" thickBot="1" x14ac:dyDescent="0.3">
      <c r="A11" s="36" t="s">
        <v>6</v>
      </c>
      <c r="B11" s="120" t="str">
        <f t="shared" si="0"/>
        <v/>
      </c>
      <c r="C11" s="104">
        <v>-363</v>
      </c>
      <c r="D11" s="33">
        <v>-84</v>
      </c>
      <c r="E11" s="92">
        <v>76</v>
      </c>
      <c r="F11" s="33"/>
      <c r="G11" s="33">
        <v>459</v>
      </c>
      <c r="H11" s="33">
        <v>187</v>
      </c>
      <c r="I11" s="33">
        <v>143</v>
      </c>
      <c r="J11" s="33">
        <v>789</v>
      </c>
      <c r="K11" s="33">
        <v>254</v>
      </c>
      <c r="L11" s="33">
        <v>0</v>
      </c>
      <c r="M11" s="32"/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  <c r="T11" s="33">
        <v>50</v>
      </c>
      <c r="U11" s="33"/>
      <c r="V11" s="33"/>
      <c r="W11" s="60"/>
    </row>
    <row r="12" spans="1:23" s="8" customFormat="1" ht="13.8" thickBot="1" x14ac:dyDescent="0.3">
      <c r="A12" s="37" t="s">
        <v>91</v>
      </c>
      <c r="B12" s="164">
        <f t="shared" si="0"/>
        <v>1.8092239303574735</v>
      </c>
      <c r="C12" s="109">
        <v>-14217</v>
      </c>
      <c r="D12" s="41">
        <v>-11680</v>
      </c>
      <c r="E12" s="40">
        <f>SUM(E2:E11)</f>
        <v>30334</v>
      </c>
      <c r="F12" s="41">
        <f>SUM(F2:F11)</f>
        <v>10798</v>
      </c>
      <c r="G12" s="41">
        <f t="shared" ref="G12:L12" si="1">SUM(G2:G11)</f>
        <v>35433</v>
      </c>
      <c r="H12" s="41">
        <f t="shared" si="1"/>
        <v>20738</v>
      </c>
      <c r="I12" s="41">
        <f t="shared" si="1"/>
        <v>20210</v>
      </c>
      <c r="J12" s="41">
        <f t="shared" si="1"/>
        <v>19589</v>
      </c>
      <c r="K12" s="41">
        <f t="shared" si="1"/>
        <v>21353</v>
      </c>
      <c r="L12" s="41">
        <f t="shared" si="1"/>
        <v>13773</v>
      </c>
      <c r="M12" s="41"/>
      <c r="N12" s="41">
        <f>SUM(N2:N11)</f>
        <v>13850</v>
      </c>
      <c r="O12" s="41">
        <f>SUM(O2:O11)</f>
        <v>20300</v>
      </c>
      <c r="P12" s="41">
        <f>SUM(P2:P11)</f>
        <v>23000</v>
      </c>
      <c r="Q12" s="41">
        <f>SUM(Q2:Q11)</f>
        <v>7000</v>
      </c>
      <c r="R12" s="41">
        <f t="shared" ref="R12:W12" si="2">SUM(R2:R11)</f>
        <v>17300</v>
      </c>
      <c r="S12" s="41">
        <f t="shared" si="2"/>
        <v>16000</v>
      </c>
      <c r="T12" s="41">
        <f t="shared" si="2"/>
        <v>18550</v>
      </c>
      <c r="U12" s="41">
        <f t="shared" si="2"/>
        <v>20000</v>
      </c>
      <c r="V12" s="41">
        <f t="shared" si="2"/>
        <v>11400</v>
      </c>
      <c r="W12" s="30">
        <f t="shared" si="2"/>
        <v>20000</v>
      </c>
    </row>
    <row r="13" spans="1:23" x14ac:dyDescent="0.25">
      <c r="B13" s="145"/>
    </row>
    <row r="14" spans="1:23" ht="13.8" thickBot="1" x14ac:dyDescent="0.3">
      <c r="B14" s="150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s="45" customFormat="1" ht="13.8" thickBot="1" x14ac:dyDescent="0.3">
      <c r="A15" s="46" t="s">
        <v>90</v>
      </c>
      <c r="B15" s="119" t="s">
        <v>170</v>
      </c>
      <c r="C15" s="44" t="s">
        <v>171</v>
      </c>
      <c r="D15" s="67" t="s">
        <v>168</v>
      </c>
      <c r="E15" s="91">
        <v>45778</v>
      </c>
      <c r="F15" s="97">
        <v>45413</v>
      </c>
      <c r="G15" s="97">
        <v>45047</v>
      </c>
      <c r="H15" s="97">
        <v>44682</v>
      </c>
      <c r="I15" s="97">
        <v>44317</v>
      </c>
      <c r="J15" s="97">
        <v>43952</v>
      </c>
      <c r="K15" s="97">
        <v>43586</v>
      </c>
      <c r="L15" s="97">
        <v>43221</v>
      </c>
      <c r="M15" s="20">
        <v>42856</v>
      </c>
      <c r="N15" s="20">
        <v>42491</v>
      </c>
      <c r="O15" s="20">
        <v>42125</v>
      </c>
      <c r="P15" s="20">
        <v>41760</v>
      </c>
      <c r="Q15" s="20">
        <v>41395</v>
      </c>
      <c r="R15" s="20">
        <v>41030</v>
      </c>
      <c r="S15" s="20">
        <v>40664</v>
      </c>
      <c r="T15" s="20">
        <v>40299</v>
      </c>
      <c r="U15" s="20">
        <v>39934</v>
      </c>
      <c r="V15" s="20">
        <v>39569</v>
      </c>
      <c r="W15" s="21">
        <v>39203</v>
      </c>
    </row>
    <row r="16" spans="1:23" s="45" customFormat="1" x14ac:dyDescent="0.25">
      <c r="A16" s="47" t="s">
        <v>7</v>
      </c>
      <c r="B16" s="133">
        <f t="shared" ref="B16:B19" si="3">IFERROR(((E16-F16)/F16),"")</f>
        <v>2.1845102505694762</v>
      </c>
      <c r="C16" s="132">
        <v>-999</v>
      </c>
      <c r="D16" s="50">
        <v>-518</v>
      </c>
      <c r="E16" s="92">
        <v>1398</v>
      </c>
      <c r="F16" s="50">
        <v>439</v>
      </c>
      <c r="G16" s="50">
        <v>1351</v>
      </c>
      <c r="H16" s="50">
        <v>541</v>
      </c>
      <c r="I16" s="50">
        <v>292</v>
      </c>
      <c r="J16" s="50"/>
      <c r="K16" s="50">
        <v>46</v>
      </c>
      <c r="L16" s="50">
        <v>0</v>
      </c>
      <c r="M16" s="50"/>
      <c r="N16" s="50">
        <v>750</v>
      </c>
      <c r="O16" s="50">
        <v>800</v>
      </c>
      <c r="P16" s="50">
        <v>1500</v>
      </c>
      <c r="Q16" s="50">
        <v>900</v>
      </c>
      <c r="R16" s="50">
        <v>1300</v>
      </c>
      <c r="S16" s="50">
        <v>1500</v>
      </c>
      <c r="T16" s="50">
        <v>1200</v>
      </c>
      <c r="U16" s="50">
        <v>500</v>
      </c>
      <c r="V16" s="50">
        <v>300</v>
      </c>
      <c r="W16" s="61">
        <v>0</v>
      </c>
    </row>
    <row r="17" spans="1:23" s="45" customFormat="1" x14ac:dyDescent="0.25">
      <c r="A17" s="47" t="s">
        <v>92</v>
      </c>
      <c r="B17" s="133" t="str">
        <f t="shared" si="3"/>
        <v/>
      </c>
      <c r="C17" s="132">
        <v>0</v>
      </c>
      <c r="D17" s="50">
        <v>0</v>
      </c>
      <c r="E17" s="92"/>
      <c r="F17" s="50"/>
      <c r="G17" s="50"/>
      <c r="H17" s="50"/>
      <c r="I17" s="50">
        <v>130</v>
      </c>
      <c r="J17" s="50"/>
      <c r="K17" s="50"/>
      <c r="L17" s="50">
        <v>0</v>
      </c>
      <c r="M17" s="50"/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61">
        <v>0</v>
      </c>
    </row>
    <row r="18" spans="1:23" s="45" customFormat="1" ht="13.8" thickBot="1" x14ac:dyDescent="0.3">
      <c r="A18" s="51" t="s">
        <v>6</v>
      </c>
      <c r="B18" s="151" t="str">
        <f t="shared" si="3"/>
        <v/>
      </c>
      <c r="C18" s="132">
        <v>0</v>
      </c>
      <c r="D18" s="50">
        <v>0</v>
      </c>
      <c r="E18" s="92"/>
      <c r="F18" s="50"/>
      <c r="G18" s="50"/>
      <c r="H18" s="50"/>
      <c r="I18" s="50">
        <v>111</v>
      </c>
      <c r="J18" s="50"/>
      <c r="K18" s="50"/>
      <c r="L18" s="50">
        <v>0</v>
      </c>
      <c r="M18" s="54"/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62">
        <v>0</v>
      </c>
    </row>
    <row r="19" spans="1:23" s="65" customFormat="1" ht="13.8" thickBot="1" x14ac:dyDescent="0.3">
      <c r="A19" s="55" t="s">
        <v>91</v>
      </c>
      <c r="B19" s="56">
        <f t="shared" si="3"/>
        <v>2.1845102505694762</v>
      </c>
      <c r="C19" s="146">
        <v>-999</v>
      </c>
      <c r="D19" s="72">
        <v>-518</v>
      </c>
      <c r="E19" s="57">
        <f t="shared" ref="E19" si="4">SUM(E16:E18)</f>
        <v>1398</v>
      </c>
      <c r="F19" s="72">
        <f t="shared" ref="F19" si="5">SUM(F16:F18)</f>
        <v>439</v>
      </c>
      <c r="G19" s="72">
        <f t="shared" ref="G19:K19" si="6">SUM(G16:G18)</f>
        <v>1351</v>
      </c>
      <c r="H19" s="72">
        <f t="shared" si="6"/>
        <v>541</v>
      </c>
      <c r="I19" s="72">
        <f t="shared" si="6"/>
        <v>533</v>
      </c>
      <c r="J19" s="72">
        <f t="shared" si="6"/>
        <v>0</v>
      </c>
      <c r="K19" s="72">
        <f t="shared" si="6"/>
        <v>46</v>
      </c>
      <c r="L19" s="72">
        <v>0</v>
      </c>
      <c r="M19" s="72"/>
      <c r="N19" s="72">
        <f>SUM(N16:N18)</f>
        <v>750</v>
      </c>
      <c r="O19" s="72">
        <v>800</v>
      </c>
      <c r="P19" s="72">
        <f>SUM(P16:P18)</f>
        <v>1500</v>
      </c>
      <c r="Q19" s="72">
        <f>SUM(Q16:Q18)</f>
        <v>900</v>
      </c>
      <c r="R19" s="72">
        <f t="shared" ref="R19:W19" si="7">SUM(R16:R18)</f>
        <v>1300</v>
      </c>
      <c r="S19" s="72">
        <f t="shared" si="7"/>
        <v>1500</v>
      </c>
      <c r="T19" s="72">
        <f t="shared" si="7"/>
        <v>1200</v>
      </c>
      <c r="U19" s="72">
        <f t="shared" si="7"/>
        <v>500</v>
      </c>
      <c r="V19" s="72">
        <f t="shared" si="7"/>
        <v>300</v>
      </c>
      <c r="W19" s="73">
        <f t="shared" si="7"/>
        <v>0</v>
      </c>
    </row>
    <row r="20" spans="1:23" s="45" customFormat="1" x14ac:dyDescent="0.25">
      <c r="B20" s="45" t="s">
        <v>179</v>
      </c>
    </row>
    <row r="21" spans="1:23" s="45" customFormat="1" x14ac:dyDescent="0.25"/>
    <row r="22" spans="1:23" s="45" customFormat="1" x14ac:dyDescent="0.25">
      <c r="E22" s="50"/>
      <c r="F22" s="50"/>
      <c r="G22" s="50"/>
    </row>
    <row r="23" spans="1:23" x14ac:dyDescent="0.25">
      <c r="G23" s="1"/>
      <c r="H23" s="1"/>
    </row>
    <row r="25" spans="1:23" x14ac:dyDescent="0.25">
      <c r="E25" s="1"/>
    </row>
  </sheetData>
  <conditionalFormatting sqref="E1">
    <cfRule type="expression" dxfId="1" priority="2">
      <formula>ISBLANK(XFD1)=FALSE</formula>
    </cfRule>
  </conditionalFormatting>
  <conditionalFormatting sqref="E15">
    <cfRule type="expression" dxfId="0" priority="1">
      <formula>ISBLANK(XFD15)=FALSE</formula>
    </cfRule>
  </conditionalFormatting>
  <pageMargins left="0.75" right="0.75" top="1" bottom="1" header="0.5" footer="0.5"/>
  <pageSetup paperSize="9" scale="66" fitToHeight="3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59"/>
  <sheetViews>
    <sheetView zoomScaleNormal="100" workbookViewId="0"/>
  </sheetViews>
  <sheetFormatPr defaultColWidth="9.109375" defaultRowHeight="13.2" x14ac:dyDescent="0.25"/>
  <cols>
    <col min="1" max="1" width="25" customWidth="1"/>
    <col min="2" max="2" width="10.6640625" customWidth="1"/>
    <col min="3" max="4" width="11.33203125" bestFit="1" customWidth="1"/>
    <col min="5" max="5" width="11.33203125" customWidth="1"/>
    <col min="6" max="11" width="11.44140625" customWidth="1"/>
    <col min="12" max="12" width="11.6640625" customWidth="1"/>
    <col min="13" max="23" width="10.109375" bestFit="1" customWidth="1"/>
  </cols>
  <sheetData>
    <row r="1" spans="1:28" ht="13.8" thickBot="1" x14ac:dyDescent="0.3">
      <c r="A1" s="34" t="s">
        <v>90</v>
      </c>
      <c r="B1" s="119" t="s">
        <v>170</v>
      </c>
      <c r="C1" s="44" t="s">
        <v>171</v>
      </c>
      <c r="D1" s="67" t="s">
        <v>168</v>
      </c>
      <c r="E1" s="91">
        <v>45778</v>
      </c>
      <c r="F1" s="97">
        <v>45413</v>
      </c>
      <c r="G1" s="97">
        <v>45047</v>
      </c>
      <c r="H1" s="97">
        <v>44682</v>
      </c>
      <c r="I1" s="97">
        <v>44317</v>
      </c>
      <c r="J1" s="97">
        <v>43952</v>
      </c>
      <c r="K1" s="97">
        <v>43586</v>
      </c>
      <c r="L1" s="97">
        <v>43221</v>
      </c>
      <c r="M1" s="20">
        <v>42856</v>
      </c>
      <c r="N1" s="20">
        <v>42491</v>
      </c>
      <c r="O1" s="20">
        <v>42125</v>
      </c>
      <c r="P1" s="20">
        <v>41760</v>
      </c>
      <c r="Q1" s="20">
        <v>41395</v>
      </c>
      <c r="R1" s="20">
        <v>41030</v>
      </c>
      <c r="S1" s="20">
        <v>40664</v>
      </c>
      <c r="T1" s="20">
        <v>40299</v>
      </c>
      <c r="U1" s="20">
        <v>39934</v>
      </c>
      <c r="V1" s="20">
        <v>39569</v>
      </c>
      <c r="W1" s="21">
        <v>39203</v>
      </c>
    </row>
    <row r="2" spans="1:28" x14ac:dyDescent="0.25">
      <c r="A2" s="16" t="s">
        <v>11</v>
      </c>
      <c r="B2" s="22" t="str">
        <f>IFERROR(((E2-F2)/F2),"")</f>
        <v/>
      </c>
      <c r="C2" s="102">
        <v>0</v>
      </c>
      <c r="D2" s="1">
        <v>0</v>
      </c>
      <c r="E2" s="92"/>
      <c r="F2" s="1"/>
      <c r="G2" s="1"/>
      <c r="H2" s="1">
        <v>497.85663501881999</v>
      </c>
      <c r="I2" s="1">
        <v>1255.846</v>
      </c>
      <c r="J2" s="1">
        <v>2611</v>
      </c>
      <c r="K2" s="1">
        <v>1887</v>
      </c>
      <c r="L2" s="1">
        <v>1544</v>
      </c>
      <c r="M2" s="1">
        <v>2249</v>
      </c>
      <c r="N2" s="1">
        <v>305</v>
      </c>
      <c r="O2" s="1">
        <v>10233</v>
      </c>
      <c r="P2" s="1">
        <v>591</v>
      </c>
      <c r="Q2" s="1">
        <v>3830</v>
      </c>
      <c r="R2" s="1">
        <v>2477</v>
      </c>
      <c r="S2" s="1">
        <v>13453.720508166969</v>
      </c>
      <c r="T2" s="1">
        <v>7984.5735027223227</v>
      </c>
      <c r="U2" s="1">
        <v>13834.845735027224</v>
      </c>
      <c r="V2" s="1">
        <v>7984.5735027223227</v>
      </c>
      <c r="W2" s="24">
        <v>5602.5408348457349</v>
      </c>
      <c r="AA2" s="1"/>
      <c r="AB2" s="1"/>
    </row>
    <row r="3" spans="1:28" x14ac:dyDescent="0.25">
      <c r="A3" s="16" t="s">
        <v>32</v>
      </c>
      <c r="B3" s="22">
        <f t="shared" ref="B3:B25" si="0">IFERROR(((E3-F3)/F3),"")</f>
        <v>-0.33332294069963214</v>
      </c>
      <c r="C3" s="102">
        <v>-297.82239984882006</v>
      </c>
      <c r="D3" s="1">
        <v>-353.33666282837999</v>
      </c>
      <c r="E3" s="92">
        <v>814.72991440763997</v>
      </c>
      <c r="F3" s="1">
        <v>1222.07582073192</v>
      </c>
      <c r="G3" s="1">
        <v>872.18736710027997</v>
      </c>
      <c r="H3" s="1">
        <v>635.95646080428003</v>
      </c>
      <c r="I3" s="1">
        <v>1352.0609999999999</v>
      </c>
      <c r="J3" s="1">
        <v>629</v>
      </c>
      <c r="K3" s="1">
        <v>934</v>
      </c>
      <c r="L3" s="1">
        <v>858</v>
      </c>
      <c r="M3" s="1">
        <v>476</v>
      </c>
      <c r="N3" s="1">
        <v>896</v>
      </c>
      <c r="O3" s="1">
        <v>838</v>
      </c>
      <c r="P3" s="1">
        <v>838</v>
      </c>
      <c r="Q3" s="1">
        <v>0</v>
      </c>
      <c r="R3" s="1">
        <v>324</v>
      </c>
      <c r="S3" s="1">
        <v>533.57531760435575</v>
      </c>
      <c r="T3" s="1">
        <v>533.57531760435575</v>
      </c>
      <c r="U3" s="1">
        <v>1276.7695099818511</v>
      </c>
      <c r="V3" s="1">
        <v>686.0254083484574</v>
      </c>
      <c r="W3" s="24">
        <v>343.0127041742287</v>
      </c>
      <c r="AA3" s="1"/>
      <c r="AB3" s="1"/>
    </row>
    <row r="4" spans="1:28" x14ac:dyDescent="0.25">
      <c r="A4" s="35" t="s">
        <v>164</v>
      </c>
      <c r="B4" s="22">
        <f t="shared" si="0"/>
        <v>0.40736159474947842</v>
      </c>
      <c r="C4" s="102">
        <v>-24584.702825261033</v>
      </c>
      <c r="D4" s="1">
        <v>-12047.414254384741</v>
      </c>
      <c r="E4" s="92">
        <v>123485.99134472369</v>
      </c>
      <c r="F4" s="1">
        <v>87742.902609691562</v>
      </c>
      <c r="G4" s="1">
        <v>55420.85651717538</v>
      </c>
      <c r="H4" s="1">
        <v>34772.541676866836</v>
      </c>
      <c r="I4" s="1">
        <v>6061.701</v>
      </c>
      <c r="J4" s="1">
        <v>0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24"/>
      <c r="AA4" s="1"/>
      <c r="AB4" s="1"/>
    </row>
    <row r="5" spans="1:28" x14ac:dyDescent="0.25">
      <c r="A5" s="16" t="s">
        <v>47</v>
      </c>
      <c r="B5" s="22">
        <f t="shared" si="0"/>
        <v>-0.43896776322509173</v>
      </c>
      <c r="C5" s="102">
        <v>-1347.5449133823599</v>
      </c>
      <c r="D5" s="1">
        <v>-3210.1113042490797</v>
      </c>
      <c r="E5" s="92">
        <v>2720.71325974602</v>
      </c>
      <c r="F5" s="1">
        <v>4849.4775904251601</v>
      </c>
      <c r="G5" s="1">
        <v>4517.2302512475599</v>
      </c>
      <c r="H5" s="1">
        <v>3478.1381284973399</v>
      </c>
      <c r="I5" s="1">
        <v>3936.585</v>
      </c>
      <c r="J5" s="1">
        <v>4211</v>
      </c>
      <c r="K5" s="1">
        <v>4936</v>
      </c>
      <c r="L5" s="1">
        <v>5088</v>
      </c>
      <c r="M5" s="1">
        <v>3144</v>
      </c>
      <c r="N5" s="1">
        <v>2477</v>
      </c>
      <c r="O5" s="1">
        <v>4097</v>
      </c>
      <c r="P5" s="1">
        <v>6727</v>
      </c>
      <c r="Q5" s="1">
        <v>210</v>
      </c>
      <c r="R5" s="1">
        <v>3849</v>
      </c>
      <c r="S5" s="1">
        <v>2858.4392014519058</v>
      </c>
      <c r="T5" s="1">
        <v>8746.8239564428313</v>
      </c>
      <c r="U5" s="1">
        <v>8232.3049001814888</v>
      </c>
      <c r="V5" s="1">
        <v>5411.9782214156075</v>
      </c>
      <c r="W5" s="24">
        <v>9756.8058076225043</v>
      </c>
      <c r="AA5" s="1"/>
      <c r="AB5" s="1"/>
    </row>
    <row r="6" spans="1:28" x14ac:dyDescent="0.25">
      <c r="A6" s="16" t="s">
        <v>12</v>
      </c>
      <c r="B6" s="22">
        <f t="shared" si="0"/>
        <v>-5.7865807170801642E-2</v>
      </c>
      <c r="C6" s="102">
        <v>-26973.092542311293</v>
      </c>
      <c r="D6" s="1">
        <v>-25204.161224383686</v>
      </c>
      <c r="E6" s="92">
        <v>94545.152505605336</v>
      </c>
      <c r="F6" s="1">
        <v>100352.10825083136</v>
      </c>
      <c r="G6" s="1">
        <v>88384.860097550933</v>
      </c>
      <c r="H6" s="1">
        <v>76893.826780131902</v>
      </c>
      <c r="I6" s="1">
        <v>105852.425</v>
      </c>
      <c r="J6" s="1">
        <v>116929</v>
      </c>
      <c r="K6" s="1">
        <v>89755</v>
      </c>
      <c r="L6" s="1">
        <v>106925</v>
      </c>
      <c r="M6" s="1">
        <v>78150</v>
      </c>
      <c r="N6" s="1">
        <v>58083</v>
      </c>
      <c r="O6" s="1">
        <v>81180</v>
      </c>
      <c r="P6" s="1">
        <v>63572</v>
      </c>
      <c r="Q6" s="1">
        <v>96272</v>
      </c>
      <c r="R6" s="1">
        <v>55606</v>
      </c>
      <c r="S6" s="1">
        <v>82208.711433756805</v>
      </c>
      <c r="T6" s="1">
        <v>51852.08711433757</v>
      </c>
      <c r="U6" s="1">
        <v>75138.838475499098</v>
      </c>
      <c r="V6" s="1">
        <v>41294.91833030853</v>
      </c>
      <c r="W6" s="24">
        <v>41733.212341197825</v>
      </c>
      <c r="AA6" s="1"/>
      <c r="AB6" s="1"/>
    </row>
    <row r="7" spans="1:28" x14ac:dyDescent="0.25">
      <c r="A7" s="16" t="s">
        <v>9</v>
      </c>
      <c r="B7" s="22">
        <f t="shared" si="0"/>
        <v>5.9395173522100206E-2</v>
      </c>
      <c r="C7" s="102">
        <v>-47503.653896183096</v>
      </c>
      <c r="D7" s="1">
        <v>-48013.931704661984</v>
      </c>
      <c r="E7" s="92">
        <v>158679.25264535189</v>
      </c>
      <c r="F7" s="1">
        <v>149782.8729177627</v>
      </c>
      <c r="G7" s="1">
        <v>154277.62313115306</v>
      </c>
      <c r="H7" s="1">
        <v>113055.12042282612</v>
      </c>
      <c r="I7" s="1">
        <v>131855.64600000001</v>
      </c>
      <c r="J7" s="1">
        <v>182121</v>
      </c>
      <c r="K7" s="1">
        <v>143265</v>
      </c>
      <c r="L7" s="1">
        <v>148963</v>
      </c>
      <c r="M7" s="1">
        <v>124094</v>
      </c>
      <c r="N7" s="1">
        <v>80570</v>
      </c>
      <c r="O7" s="1">
        <v>130955</v>
      </c>
      <c r="P7" s="1">
        <v>80227</v>
      </c>
      <c r="Q7" s="1">
        <v>94348</v>
      </c>
      <c r="R7" s="1">
        <v>69670</v>
      </c>
      <c r="S7" s="1">
        <v>60179.673321234121</v>
      </c>
      <c r="T7" s="1">
        <v>57264.065335753177</v>
      </c>
      <c r="U7" s="1">
        <v>49584.392014519057</v>
      </c>
      <c r="V7" s="1">
        <v>31576.225045372052</v>
      </c>
      <c r="W7" s="24">
        <v>25459.165154264974</v>
      </c>
      <c r="AA7" s="1"/>
      <c r="AB7" s="1"/>
    </row>
    <row r="8" spans="1:28" x14ac:dyDescent="0.25">
      <c r="A8" s="16" t="s">
        <v>3</v>
      </c>
      <c r="B8" s="22">
        <f t="shared" si="0"/>
        <v>-2.8896699476505243E-2</v>
      </c>
      <c r="C8" s="102">
        <v>-11252.363898541917</v>
      </c>
      <c r="D8" s="1">
        <v>-14418.810586885316</v>
      </c>
      <c r="E8" s="92">
        <v>39040.243507899482</v>
      </c>
      <c r="F8" s="1">
        <v>40201.94709136914</v>
      </c>
      <c r="G8" s="1">
        <v>29305.644131429817</v>
      </c>
      <c r="H8" s="1">
        <v>34738.2310428153</v>
      </c>
      <c r="I8" s="1">
        <v>32854.023999999998</v>
      </c>
      <c r="J8" s="1">
        <v>70889</v>
      </c>
      <c r="K8" s="1">
        <v>31862</v>
      </c>
      <c r="L8" s="1">
        <v>56006</v>
      </c>
      <c r="M8" s="1">
        <v>45983</v>
      </c>
      <c r="N8" s="1">
        <v>60313</v>
      </c>
      <c r="O8" s="1">
        <v>95415</v>
      </c>
      <c r="P8" s="1">
        <v>80246</v>
      </c>
      <c r="Q8" s="1">
        <v>85925</v>
      </c>
      <c r="R8" s="1">
        <v>70623</v>
      </c>
      <c r="S8" s="1">
        <v>72909.255898366609</v>
      </c>
      <c r="T8" s="1">
        <v>74624.319419237756</v>
      </c>
      <c r="U8" s="1">
        <v>103380.21778584392</v>
      </c>
      <c r="V8" s="1">
        <v>76320.326678765879</v>
      </c>
      <c r="W8" s="24">
        <v>56254.083484573501</v>
      </c>
      <c r="AA8" s="1"/>
      <c r="AB8" s="1"/>
    </row>
    <row r="9" spans="1:28" x14ac:dyDescent="0.25">
      <c r="A9" s="16" t="s">
        <v>17</v>
      </c>
      <c r="B9" s="22">
        <f t="shared" si="0"/>
        <v>-7.6647233357471783E-2</v>
      </c>
      <c r="C9" s="102">
        <v>-31938.7614470509</v>
      </c>
      <c r="D9" s="1">
        <v>-35325.188641442714</v>
      </c>
      <c r="E9" s="92">
        <v>127334.97389434668</v>
      </c>
      <c r="F9" s="1">
        <v>137905.01149128395</v>
      </c>
      <c r="G9" s="1">
        <v>79994.243119989653</v>
      </c>
      <c r="H9" s="1">
        <v>130260.02688803873</v>
      </c>
      <c r="I9" s="1">
        <v>81050.585999999996</v>
      </c>
      <c r="J9" s="1">
        <v>127639</v>
      </c>
      <c r="K9" s="1">
        <v>92537</v>
      </c>
      <c r="L9" s="1">
        <v>159329</v>
      </c>
      <c r="M9" s="1">
        <v>62886</v>
      </c>
      <c r="N9" s="1">
        <v>115614</v>
      </c>
      <c r="O9" s="1">
        <v>102847</v>
      </c>
      <c r="P9" s="1">
        <v>103094</v>
      </c>
      <c r="Q9" s="1">
        <v>78378</v>
      </c>
      <c r="R9" s="1">
        <v>75691</v>
      </c>
      <c r="S9" s="1">
        <v>72528.130671506355</v>
      </c>
      <c r="T9" s="1">
        <v>65896.551724137928</v>
      </c>
      <c r="U9" s="1">
        <v>106333.93829401089</v>
      </c>
      <c r="V9" s="1">
        <v>61666.061705989108</v>
      </c>
      <c r="W9" s="24">
        <v>77101.633393829397</v>
      </c>
      <c r="AA9" s="1"/>
      <c r="AB9" s="1"/>
    </row>
    <row r="10" spans="1:28" x14ac:dyDescent="0.25">
      <c r="A10" s="16" t="s">
        <v>172</v>
      </c>
      <c r="B10" s="22">
        <f t="shared" si="0"/>
        <v>-0.50573473719747142</v>
      </c>
      <c r="C10" s="102">
        <v>-26821.980965800023</v>
      </c>
      <c r="D10" s="1">
        <v>-42009.913661474216</v>
      </c>
      <c r="E10" s="92">
        <v>63816.274316380739</v>
      </c>
      <c r="F10" s="1">
        <v>129113.41160116476</v>
      </c>
      <c r="G10" s="1">
        <v>67079.194658714696</v>
      </c>
      <c r="H10" s="1">
        <v>91478.722934846941</v>
      </c>
      <c r="I10" s="1">
        <v>77713.13</v>
      </c>
      <c r="J10" s="1">
        <v>60789</v>
      </c>
      <c r="K10" s="1">
        <v>50937</v>
      </c>
      <c r="L10" s="1">
        <v>46593</v>
      </c>
      <c r="M10" s="1">
        <v>16274</v>
      </c>
      <c r="N10" s="1">
        <v>20638</v>
      </c>
      <c r="O10" s="1">
        <v>5831</v>
      </c>
      <c r="P10" s="1">
        <v>1353</v>
      </c>
      <c r="Q10" s="1">
        <v>57</v>
      </c>
      <c r="R10" s="1"/>
      <c r="S10" s="1"/>
      <c r="T10" s="1"/>
      <c r="U10" s="1"/>
      <c r="V10" s="1"/>
      <c r="W10" s="24"/>
      <c r="AA10" s="1"/>
      <c r="AB10" s="1"/>
    </row>
    <row r="11" spans="1:28" x14ac:dyDescent="0.25">
      <c r="A11" s="17" t="s">
        <v>10</v>
      </c>
      <c r="B11" s="22">
        <f t="shared" si="0"/>
        <v>-0.79235789112141508</v>
      </c>
      <c r="C11" s="102">
        <v>-31.624460036399995</v>
      </c>
      <c r="D11" s="1">
        <v>-358.30894238832002</v>
      </c>
      <c r="E11" s="92">
        <v>230.34418451814</v>
      </c>
      <c r="F11" s="1">
        <v>1109.3327156142</v>
      </c>
      <c r="G11" s="1">
        <v>1630.1647113582599</v>
      </c>
      <c r="H11" s="1">
        <v>692.95669238795995</v>
      </c>
      <c r="I11" s="1">
        <v>751.88400000000001</v>
      </c>
      <c r="J11" s="1">
        <v>1334</v>
      </c>
      <c r="K11" s="1">
        <v>210</v>
      </c>
      <c r="L11" s="1">
        <v>1048</v>
      </c>
      <c r="M11" s="68">
        <v>1753</v>
      </c>
      <c r="N11" s="68">
        <v>896</v>
      </c>
      <c r="O11" s="68">
        <v>2230</v>
      </c>
      <c r="P11" s="68">
        <v>4250</v>
      </c>
      <c r="Q11" s="68">
        <v>324</v>
      </c>
      <c r="R11" s="68">
        <v>3068</v>
      </c>
      <c r="S11" s="68">
        <v>133.39382940108894</v>
      </c>
      <c r="T11" s="68">
        <v>2686.9328493647913</v>
      </c>
      <c r="U11" s="68">
        <v>3601.633393829401</v>
      </c>
      <c r="V11" s="1">
        <v>1905.6261343012704</v>
      </c>
      <c r="W11" s="24">
        <v>1657.8947368421052</v>
      </c>
      <c r="AA11" s="1"/>
      <c r="AB11" s="1"/>
    </row>
    <row r="12" spans="1:28" x14ac:dyDescent="0.25">
      <c r="A12" s="17" t="s">
        <v>26</v>
      </c>
      <c r="B12" s="22" t="str">
        <f t="shared" si="0"/>
        <v/>
      </c>
      <c r="C12" s="102">
        <v>0</v>
      </c>
      <c r="D12" s="1">
        <v>0</v>
      </c>
      <c r="E12" s="92"/>
      <c r="F12" s="1"/>
      <c r="G12" s="1"/>
      <c r="H12" s="1"/>
      <c r="I12" s="1"/>
      <c r="J12" s="1"/>
      <c r="K12" s="1">
        <v>2268</v>
      </c>
      <c r="L12" s="1">
        <v>3506</v>
      </c>
      <c r="M12" s="68">
        <v>4173</v>
      </c>
      <c r="N12" s="68">
        <v>1639</v>
      </c>
      <c r="O12" s="68">
        <v>5164</v>
      </c>
      <c r="P12" s="68">
        <v>4955</v>
      </c>
      <c r="Q12" s="68">
        <v>2763</v>
      </c>
      <c r="R12" s="68">
        <v>2973</v>
      </c>
      <c r="S12" s="68">
        <v>3773.1397459165155</v>
      </c>
      <c r="T12" s="68">
        <v>2858.4392014519058</v>
      </c>
      <c r="U12" s="68">
        <v>514.51905626134305</v>
      </c>
      <c r="V12" s="1">
        <v>514.51905626134305</v>
      </c>
      <c r="W12" s="24">
        <v>1905.6261343012704</v>
      </c>
      <c r="AA12" s="1"/>
      <c r="AB12" s="1"/>
    </row>
    <row r="13" spans="1:28" x14ac:dyDescent="0.25">
      <c r="A13" s="17" t="s">
        <v>48</v>
      </c>
      <c r="B13" s="22">
        <f t="shared" si="0"/>
        <v>-0.48738414758939269</v>
      </c>
      <c r="C13" s="102">
        <v>-98.626403378579994</v>
      </c>
      <c r="D13" s="1">
        <v>-206.22577102050002</v>
      </c>
      <c r="E13" s="92">
        <v>334.01907097482001</v>
      </c>
      <c r="F13" s="1">
        <v>651.59723290661998</v>
      </c>
      <c r="G13" s="1">
        <v>711.22648586681998</v>
      </c>
      <c r="H13" s="1">
        <v>307.15733082342001</v>
      </c>
      <c r="I13" s="1">
        <v>526.79100000000005</v>
      </c>
      <c r="J13" s="1">
        <v>419</v>
      </c>
      <c r="K13" s="1">
        <v>972</v>
      </c>
      <c r="L13" s="1">
        <v>0</v>
      </c>
      <c r="M13" s="68">
        <v>172</v>
      </c>
      <c r="N13" s="68">
        <v>210</v>
      </c>
      <c r="O13" s="68">
        <v>896</v>
      </c>
      <c r="P13" s="68">
        <v>877</v>
      </c>
      <c r="Q13" s="68">
        <v>0</v>
      </c>
      <c r="R13" s="68">
        <v>1162</v>
      </c>
      <c r="S13" s="68">
        <v>381.12522686025409</v>
      </c>
      <c r="T13" s="68">
        <v>4135.2087114337564</v>
      </c>
      <c r="U13" s="68">
        <v>571.68784029038113</v>
      </c>
      <c r="V13" s="1">
        <v>876.58802177858445</v>
      </c>
      <c r="W13" s="24">
        <v>590.74410163339383</v>
      </c>
      <c r="AA13" s="1"/>
      <c r="AB13" s="1"/>
    </row>
    <row r="14" spans="1:28" x14ac:dyDescent="0.25">
      <c r="A14" s="17" t="s">
        <v>49</v>
      </c>
      <c r="B14" s="22">
        <f t="shared" si="0"/>
        <v>6.6073796708011653E-2</v>
      </c>
      <c r="C14" s="102">
        <v>-2502.4473328562399</v>
      </c>
      <c r="D14" s="1">
        <v>-3605.9695302107393</v>
      </c>
      <c r="E14" s="92">
        <v>6248.3836750473602</v>
      </c>
      <c r="F14" s="1">
        <v>5861.1173957582396</v>
      </c>
      <c r="G14" s="1">
        <v>5754.7372844068796</v>
      </c>
      <c r="H14" s="1">
        <v>7322.5865687897995</v>
      </c>
      <c r="I14" s="1">
        <v>5791.96</v>
      </c>
      <c r="J14" s="1">
        <v>6746</v>
      </c>
      <c r="K14" s="1">
        <v>7661</v>
      </c>
      <c r="L14" s="1">
        <v>7375</v>
      </c>
      <c r="M14" s="68">
        <v>5240</v>
      </c>
      <c r="N14" s="68">
        <v>8270</v>
      </c>
      <c r="O14" s="68">
        <v>11720</v>
      </c>
      <c r="P14" s="68">
        <v>9681</v>
      </c>
      <c r="Q14" s="68">
        <v>400</v>
      </c>
      <c r="R14" s="68">
        <v>6193</v>
      </c>
      <c r="S14" s="68">
        <v>2744.1016333938296</v>
      </c>
      <c r="T14" s="68">
        <v>9566.2431941923769</v>
      </c>
      <c r="U14" s="68">
        <v>8956.4428312159707</v>
      </c>
      <c r="V14" s="1">
        <v>5373.8656987295826</v>
      </c>
      <c r="W14" s="24">
        <v>6326.6787658802177</v>
      </c>
      <c r="AA14" s="1"/>
      <c r="AB14" s="1"/>
    </row>
    <row r="15" spans="1:28" x14ac:dyDescent="0.25">
      <c r="A15" s="17" t="s">
        <v>50</v>
      </c>
      <c r="B15" s="22">
        <f t="shared" si="0"/>
        <v>-0.64763225975778937</v>
      </c>
      <c r="C15" s="102">
        <v>-62.258274336720007</v>
      </c>
      <c r="D15" s="1">
        <v>-43.016886001319961</v>
      </c>
      <c r="E15" s="92">
        <v>179.04016591691999</v>
      </c>
      <c r="F15" s="1">
        <v>508.10600821134</v>
      </c>
      <c r="G15" s="1">
        <v>315.52066694147999</v>
      </c>
      <c r="H15" s="1">
        <v>429.23536691573997</v>
      </c>
      <c r="I15" s="1">
        <v>235.28800000000001</v>
      </c>
      <c r="J15" s="1">
        <v>495</v>
      </c>
      <c r="K15" s="1">
        <v>800</v>
      </c>
      <c r="L15" s="1">
        <v>1372</v>
      </c>
      <c r="M15" s="68">
        <v>915</v>
      </c>
      <c r="N15" s="68">
        <v>419</v>
      </c>
      <c r="O15" s="68">
        <v>667</v>
      </c>
      <c r="P15" s="68">
        <v>1124</v>
      </c>
      <c r="Q15" s="68">
        <v>495</v>
      </c>
      <c r="R15" s="68">
        <v>1505</v>
      </c>
      <c r="S15" s="68">
        <v>1696.0072595281306</v>
      </c>
      <c r="T15" s="68">
        <v>2039.0199637023593</v>
      </c>
      <c r="U15" s="68">
        <v>2248.6388384754991</v>
      </c>
      <c r="V15" s="1">
        <v>2858.4392014519058</v>
      </c>
      <c r="W15" s="24">
        <v>1657.8947368421052</v>
      </c>
      <c r="AA15" s="1"/>
      <c r="AB15" s="1"/>
    </row>
    <row r="16" spans="1:28" x14ac:dyDescent="0.25">
      <c r="A16" s="17" t="s">
        <v>51</v>
      </c>
      <c r="B16" s="22">
        <f t="shared" si="0"/>
        <v>-0.27692376044073219</v>
      </c>
      <c r="C16" s="102">
        <v>-83.38569974658003</v>
      </c>
      <c r="D16" s="1">
        <v>-125.58339792767998</v>
      </c>
      <c r="E16" s="92">
        <v>310.05306451349998</v>
      </c>
      <c r="F16" s="1">
        <v>428.79719668631998</v>
      </c>
      <c r="G16" s="1">
        <v>350.93625200634</v>
      </c>
      <c r="H16" s="1">
        <v>357.68026336349999</v>
      </c>
      <c r="I16" s="1">
        <v>377.2</v>
      </c>
      <c r="J16" s="1">
        <v>229</v>
      </c>
      <c r="K16" s="1">
        <v>267</v>
      </c>
      <c r="L16" s="1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495</v>
      </c>
      <c r="S16" s="68">
        <v>1009.9818511796733</v>
      </c>
      <c r="T16" s="68">
        <v>400.18148820326678</v>
      </c>
      <c r="U16" s="68">
        <v>724.13793103448279</v>
      </c>
      <c r="V16" s="1">
        <v>0</v>
      </c>
      <c r="W16" s="24">
        <v>57.168784029038115</v>
      </c>
      <c r="AA16" s="1"/>
      <c r="AB16" s="1"/>
    </row>
    <row r="17" spans="1:28" x14ac:dyDescent="0.25">
      <c r="A17" s="17" t="s">
        <v>52</v>
      </c>
      <c r="B17" s="22" t="str">
        <f t="shared" si="0"/>
        <v/>
      </c>
      <c r="C17" s="102">
        <v>0</v>
      </c>
      <c r="D17" s="1">
        <v>0</v>
      </c>
      <c r="E17" s="92"/>
      <c r="F17" s="1"/>
      <c r="G17" s="1"/>
      <c r="H17" s="1"/>
      <c r="I17" s="1"/>
      <c r="J17" s="1"/>
      <c r="K17" s="1"/>
      <c r="L17" s="1">
        <v>0</v>
      </c>
      <c r="M17" s="68">
        <v>0</v>
      </c>
      <c r="N17" s="68">
        <v>0</v>
      </c>
      <c r="O17" s="68">
        <v>0</v>
      </c>
      <c r="P17" s="68">
        <v>248</v>
      </c>
      <c r="Q17" s="68">
        <v>19</v>
      </c>
      <c r="R17" s="68">
        <v>0</v>
      </c>
      <c r="S17" s="68">
        <v>0</v>
      </c>
      <c r="T17" s="68">
        <v>19.056261343012704</v>
      </c>
      <c r="U17" s="68">
        <v>0</v>
      </c>
      <c r="V17" s="1">
        <v>19.056261343012704</v>
      </c>
      <c r="W17" s="24">
        <v>19.056261343012704</v>
      </c>
      <c r="AA17" s="1"/>
      <c r="AB17" s="1"/>
    </row>
    <row r="18" spans="1:28" x14ac:dyDescent="0.25">
      <c r="A18" s="16" t="s">
        <v>59</v>
      </c>
      <c r="B18" s="22">
        <f t="shared" si="0"/>
        <v>0.53905279916330762</v>
      </c>
      <c r="C18" s="102">
        <v>-17895.729459092108</v>
      </c>
      <c r="D18" s="1">
        <v>-19687.826646540372</v>
      </c>
      <c r="E18" s="92">
        <v>113483.6128054398</v>
      </c>
      <c r="F18" s="1">
        <v>73736.010140220111</v>
      </c>
      <c r="G18" s="1">
        <v>62182.337530873556</v>
      </c>
      <c r="H18" s="1">
        <v>67171.93434031542</v>
      </c>
      <c r="I18" s="1">
        <v>54695.034</v>
      </c>
      <c r="J18" s="1">
        <v>45240</v>
      </c>
      <c r="K18" s="1">
        <v>42610</v>
      </c>
      <c r="L18" s="1">
        <v>36436</v>
      </c>
      <c r="M18" s="1">
        <v>44401</v>
      </c>
      <c r="N18" s="1">
        <v>30071</v>
      </c>
      <c r="O18" s="1">
        <v>25993</v>
      </c>
      <c r="P18" s="1">
        <v>17379</v>
      </c>
      <c r="Q18" s="1">
        <v>16026</v>
      </c>
      <c r="R18" s="1">
        <v>11053</v>
      </c>
      <c r="S18" s="1">
        <v>14139.745916515427</v>
      </c>
      <c r="T18" s="1">
        <v>17226.860254083484</v>
      </c>
      <c r="U18" s="1">
        <v>11357.531760435571</v>
      </c>
      <c r="V18" s="1">
        <v>11910.16333938294</v>
      </c>
      <c r="W18" s="24">
        <v>4001.8148820326678</v>
      </c>
      <c r="AA18" s="1"/>
      <c r="AB18" s="1"/>
    </row>
    <row r="19" spans="1:28" x14ac:dyDescent="0.25">
      <c r="A19" s="17" t="s">
        <v>19</v>
      </c>
      <c r="B19" s="22">
        <f t="shared" si="0"/>
        <v>-7.3342006634431856E-2</v>
      </c>
      <c r="C19" s="102">
        <v>-38272.74072387151</v>
      </c>
      <c r="D19" s="1">
        <v>-43871.698966279771</v>
      </c>
      <c r="E19" s="92">
        <v>167323.57018574735</v>
      </c>
      <c r="F19" s="1">
        <v>180566.69384358067</v>
      </c>
      <c r="G19" s="1">
        <v>141283.01819691906</v>
      </c>
      <c r="H19" s="1">
        <v>160144.4557907733</v>
      </c>
      <c r="I19" s="1">
        <v>176637.06</v>
      </c>
      <c r="J19" s="1">
        <v>212706</v>
      </c>
      <c r="K19" s="1">
        <v>226846</v>
      </c>
      <c r="L19" s="1">
        <v>228828</v>
      </c>
      <c r="M19" s="68">
        <v>307778</v>
      </c>
      <c r="N19" s="68">
        <v>219414</v>
      </c>
      <c r="O19" s="68">
        <v>343146</v>
      </c>
      <c r="P19" s="68">
        <v>259680</v>
      </c>
      <c r="Q19" s="68">
        <v>308692</v>
      </c>
      <c r="R19" s="68">
        <v>261947</v>
      </c>
      <c r="S19" s="68">
        <v>236907.44101633393</v>
      </c>
      <c r="T19" s="68">
        <v>271475.49909255898</v>
      </c>
      <c r="U19" s="68">
        <v>270865.6987295826</v>
      </c>
      <c r="V19" s="1">
        <v>212686.93284936479</v>
      </c>
      <c r="W19" s="24">
        <v>248627.04174228676</v>
      </c>
      <c r="AA19" s="1"/>
      <c r="AB19" s="1"/>
    </row>
    <row r="20" spans="1:28" x14ac:dyDescent="0.25">
      <c r="A20" s="17" t="s">
        <v>53</v>
      </c>
      <c r="B20" s="22">
        <f t="shared" si="0"/>
        <v>-0.34789566875510758</v>
      </c>
      <c r="C20" s="102">
        <v>-485.28305452241995</v>
      </c>
      <c r="D20" s="1">
        <v>-1227.7148810757599</v>
      </c>
      <c r="E20" s="92">
        <v>364.84339407054</v>
      </c>
      <c r="F20" s="1">
        <v>559.48623033071999</v>
      </c>
      <c r="G20" s="1">
        <v>3043.68282058764</v>
      </c>
      <c r="H20" s="1">
        <v>1953.9344091405599</v>
      </c>
      <c r="I20" s="1">
        <v>305.98599999999999</v>
      </c>
      <c r="J20" s="1">
        <v>2706</v>
      </c>
      <c r="K20" s="1">
        <v>2573</v>
      </c>
      <c r="L20" s="1">
        <v>2839</v>
      </c>
      <c r="M20" s="68">
        <v>3506</v>
      </c>
      <c r="N20" s="68">
        <v>2496</v>
      </c>
      <c r="O20" s="68">
        <v>3392</v>
      </c>
      <c r="P20" s="68">
        <v>2420</v>
      </c>
      <c r="Q20" s="68">
        <v>1372</v>
      </c>
      <c r="R20" s="68">
        <v>3525</v>
      </c>
      <c r="S20" s="68">
        <v>1200.5444646098003</v>
      </c>
      <c r="T20" s="68">
        <v>2458.257713248639</v>
      </c>
      <c r="U20" s="68">
        <v>3258.6206896551726</v>
      </c>
      <c r="V20" s="1">
        <v>4725.9528130671506</v>
      </c>
      <c r="W20" s="24">
        <v>2858.4392014519058</v>
      </c>
      <c r="AA20" s="1"/>
      <c r="AB20" s="1"/>
    </row>
    <row r="21" spans="1:28" x14ac:dyDescent="0.25">
      <c r="A21" s="17" t="s">
        <v>54</v>
      </c>
      <c r="B21" s="22">
        <f t="shared" si="0"/>
        <v>9.773916773916774</v>
      </c>
      <c r="C21" s="102">
        <v>-163.85661492354001</v>
      </c>
      <c r="D21" s="1">
        <v>-349.98370802933999</v>
      </c>
      <c r="E21" s="92">
        <v>478.44378876755997</v>
      </c>
      <c r="F21" s="1">
        <v>44.407600207739996</v>
      </c>
      <c r="G21" s="1">
        <v>178.44958865117999</v>
      </c>
      <c r="H21" s="1">
        <v>51.284967721679998</v>
      </c>
      <c r="I21" s="1">
        <v>192.64</v>
      </c>
      <c r="J21" s="1">
        <v>210</v>
      </c>
      <c r="K21" s="1">
        <v>76</v>
      </c>
      <c r="L21" s="1">
        <v>324</v>
      </c>
      <c r="M21" s="68">
        <v>343</v>
      </c>
      <c r="N21" s="68">
        <v>610</v>
      </c>
      <c r="O21" s="68">
        <v>762</v>
      </c>
      <c r="P21" s="68">
        <v>2249</v>
      </c>
      <c r="Q21" s="68">
        <v>19</v>
      </c>
      <c r="R21" s="68">
        <v>2153</v>
      </c>
      <c r="S21" s="68">
        <v>666.9691470054446</v>
      </c>
      <c r="T21" s="68">
        <v>2077.1324863883847</v>
      </c>
      <c r="U21" s="68">
        <v>2267.6950998185116</v>
      </c>
      <c r="V21" s="1">
        <v>666.9691470054446</v>
      </c>
      <c r="W21" s="24">
        <v>2458.257713248639</v>
      </c>
      <c r="AA21" s="1"/>
      <c r="AB21" s="1"/>
    </row>
    <row r="22" spans="1:28" x14ac:dyDescent="0.25">
      <c r="A22" s="17" t="s">
        <v>34</v>
      </c>
      <c r="B22" s="22">
        <f t="shared" si="0"/>
        <v>-0.40056006291117635</v>
      </c>
      <c r="C22" s="102">
        <v>-508.01075381364012</v>
      </c>
      <c r="D22" s="1">
        <v>-1003.7336903239798</v>
      </c>
      <c r="E22" s="92">
        <v>1190.7942765272398</v>
      </c>
      <c r="F22" s="1">
        <v>1986.5114131539599</v>
      </c>
      <c r="G22" s="1">
        <v>1318.2446606498399</v>
      </c>
      <c r="H22" s="1">
        <v>1942.08476206668</v>
      </c>
      <c r="I22" s="1">
        <v>1062.463</v>
      </c>
      <c r="J22" s="1">
        <v>286</v>
      </c>
      <c r="K22" s="1">
        <v>1925</v>
      </c>
      <c r="L22" s="1">
        <v>1753</v>
      </c>
      <c r="M22" s="68">
        <v>648</v>
      </c>
      <c r="N22" s="68">
        <v>1982</v>
      </c>
      <c r="O22" s="68">
        <v>2420</v>
      </c>
      <c r="P22" s="68">
        <v>1772</v>
      </c>
      <c r="Q22" s="68">
        <v>0</v>
      </c>
      <c r="R22" s="68">
        <v>1944</v>
      </c>
      <c r="S22" s="68">
        <v>1200.5444646098003</v>
      </c>
      <c r="T22" s="68">
        <v>3087.1143375680581</v>
      </c>
      <c r="U22" s="68">
        <v>2096.1887477313976</v>
      </c>
      <c r="V22" s="1">
        <v>876.58802177858445</v>
      </c>
      <c r="W22" s="24">
        <v>1562.6134301270417</v>
      </c>
      <c r="AA22" s="1"/>
      <c r="AB22" s="1"/>
    </row>
    <row r="23" spans="1:28" x14ac:dyDescent="0.25">
      <c r="A23" s="17" t="s">
        <v>21</v>
      </c>
      <c r="B23" s="22">
        <f t="shared" si="0"/>
        <v>-1.4271356783919527E-2</v>
      </c>
      <c r="C23" s="102">
        <v>-52.027952023739999</v>
      </c>
      <c r="D23" s="1">
        <v>-22.365732579959996</v>
      </c>
      <c r="E23" s="92">
        <v>93.425513264160003</v>
      </c>
      <c r="F23" s="1">
        <v>94.778125711499996</v>
      </c>
      <c r="G23" s="1">
        <v>67.840182041939997</v>
      </c>
      <c r="H23" s="1">
        <v>100.74105100752</v>
      </c>
      <c r="I23" s="1">
        <v>73.119</v>
      </c>
      <c r="J23" s="1">
        <v>57</v>
      </c>
      <c r="K23" s="1">
        <v>191</v>
      </c>
      <c r="L23" s="1">
        <v>133</v>
      </c>
      <c r="M23" s="68">
        <v>76</v>
      </c>
      <c r="N23" s="68">
        <v>191</v>
      </c>
      <c r="O23" s="68">
        <v>343</v>
      </c>
      <c r="P23" s="68">
        <v>19</v>
      </c>
      <c r="Q23" s="68">
        <v>19</v>
      </c>
      <c r="R23" s="68">
        <v>172</v>
      </c>
      <c r="S23" s="68">
        <v>76.225045372050815</v>
      </c>
      <c r="T23" s="68">
        <v>285.84392014519057</v>
      </c>
      <c r="U23" s="68">
        <v>285.84392014519057</v>
      </c>
      <c r="V23" s="1">
        <v>609.80036297640652</v>
      </c>
      <c r="W23" s="24">
        <v>323.95644283121595</v>
      </c>
      <c r="AA23" s="1"/>
      <c r="AB23" s="1"/>
    </row>
    <row r="24" spans="1:28" x14ac:dyDescent="0.25">
      <c r="A24" s="17" t="s">
        <v>55</v>
      </c>
      <c r="B24" s="22" t="str">
        <f t="shared" si="0"/>
        <v/>
      </c>
      <c r="C24" s="102">
        <v>0</v>
      </c>
      <c r="D24" s="1">
        <v>0</v>
      </c>
      <c r="E24" s="92"/>
      <c r="F24" s="1"/>
      <c r="G24" s="1"/>
      <c r="H24" s="1"/>
      <c r="I24" s="1"/>
      <c r="J24" s="1"/>
      <c r="K24" s="1"/>
      <c r="L24" s="1">
        <v>0</v>
      </c>
      <c r="M24" s="68">
        <v>0</v>
      </c>
      <c r="N24" s="68">
        <v>0</v>
      </c>
      <c r="O24" s="68">
        <v>0</v>
      </c>
      <c r="P24" s="68">
        <v>0</v>
      </c>
      <c r="Q24" s="68">
        <v>0</v>
      </c>
      <c r="R24" s="68">
        <v>0</v>
      </c>
      <c r="S24" s="68">
        <v>0</v>
      </c>
      <c r="T24" s="68">
        <v>0</v>
      </c>
      <c r="U24" s="68">
        <v>38.112522686025407</v>
      </c>
      <c r="V24" s="1">
        <v>0</v>
      </c>
      <c r="W24" s="24">
        <v>19.056261343012704</v>
      </c>
      <c r="AA24" s="1"/>
      <c r="AB24" s="1"/>
    </row>
    <row r="25" spans="1:28" x14ac:dyDescent="0.25">
      <c r="A25" s="17" t="s">
        <v>56</v>
      </c>
      <c r="B25" s="22">
        <f t="shared" si="0"/>
        <v>-4.1326067211625704E-2</v>
      </c>
      <c r="C25" s="102">
        <v>-118.95369184776001</v>
      </c>
      <c r="D25" s="1">
        <v>-108.91387833018007</v>
      </c>
      <c r="E25" s="92">
        <v>442.38047379834001</v>
      </c>
      <c r="F25" s="1">
        <v>461.45040421787996</v>
      </c>
      <c r="G25" s="1">
        <v>348.72634997969999</v>
      </c>
      <c r="H25" s="1">
        <v>371.30164223459997</v>
      </c>
      <c r="I25" s="1">
        <v>389.358</v>
      </c>
      <c r="J25" s="1">
        <v>114</v>
      </c>
      <c r="K25" s="1">
        <v>286</v>
      </c>
      <c r="L25" s="1">
        <v>0</v>
      </c>
      <c r="M25" s="68">
        <v>38</v>
      </c>
      <c r="N25" s="68">
        <v>38</v>
      </c>
      <c r="O25" s="68">
        <v>38</v>
      </c>
      <c r="P25" s="68">
        <v>0</v>
      </c>
      <c r="Q25" s="68">
        <v>0</v>
      </c>
      <c r="R25" s="68">
        <v>152</v>
      </c>
      <c r="S25" s="68">
        <v>0</v>
      </c>
      <c r="T25" s="68">
        <v>0</v>
      </c>
      <c r="U25" s="68">
        <v>57.168784029038115</v>
      </c>
      <c r="V25" s="1">
        <v>0</v>
      </c>
      <c r="W25" s="24">
        <v>19.056261343012704</v>
      </c>
      <c r="AA25" s="1"/>
      <c r="AB25" s="1"/>
    </row>
    <row r="26" spans="1:28" ht="13.8" thickBot="1" x14ac:dyDescent="0.3">
      <c r="A26" s="17" t="s">
        <v>57</v>
      </c>
      <c r="B26" s="22">
        <f>IFERROR(((E26-F26)/F26),"")</f>
        <v>-4.6804542517552013E-2</v>
      </c>
      <c r="C26" s="102">
        <v>-35785.057822658768</v>
      </c>
      <c r="D26" s="1">
        <v>-32403.983925417735</v>
      </c>
      <c r="E26" s="92">
        <v>95498.096551075665</v>
      </c>
      <c r="F26" s="1">
        <v>100187.31814281034</v>
      </c>
      <c r="G26" s="1">
        <v>68216.26545493913</v>
      </c>
      <c r="H26" s="1">
        <f>45170.7022385942+13211.289638122</f>
        <v>58381.991876716194</v>
      </c>
      <c r="I26" s="1">
        <f>30873.297+9982</f>
        <v>40855.296999999999</v>
      </c>
      <c r="J26" s="33">
        <f>12291+42553</f>
        <v>54844</v>
      </c>
      <c r="K26" s="1">
        <f>24430+8099</f>
        <v>32529</v>
      </c>
      <c r="L26" s="1">
        <v>32224</v>
      </c>
      <c r="M26" s="68">
        <v>34416</v>
      </c>
      <c r="N26" s="68">
        <v>31348</v>
      </c>
      <c r="O26" s="68">
        <v>27155</v>
      </c>
      <c r="P26" s="68">
        <v>24564</v>
      </c>
      <c r="Q26" s="68">
        <v>13130</v>
      </c>
      <c r="R26" s="68">
        <v>5774</v>
      </c>
      <c r="S26" s="68">
        <v>8308.5299455535387</v>
      </c>
      <c r="T26" s="68">
        <v>8956.4428312159707</v>
      </c>
      <c r="U26" s="68">
        <v>12386.569872958258</v>
      </c>
      <c r="V26" s="1">
        <v>5488.2032667876592</v>
      </c>
      <c r="W26" s="24">
        <v>8232.3049001814888</v>
      </c>
      <c r="AA26" s="1"/>
      <c r="AB26" s="1"/>
    </row>
    <row r="27" spans="1:28" ht="13.8" thickBot="1" x14ac:dyDescent="0.3">
      <c r="A27" s="19" t="s">
        <v>22</v>
      </c>
      <c r="B27" s="108">
        <f>IFERROR(((E27-F27)/F27),"")</f>
        <v>-2.0396875107614586E-2</v>
      </c>
      <c r="C27" s="109">
        <v>-266779.92513148708</v>
      </c>
      <c r="D27" s="41">
        <v>-283598.19399643561</v>
      </c>
      <c r="E27" s="40">
        <f>SUM(E2:E26)</f>
        <v>996614.33853812271</v>
      </c>
      <c r="F27" s="41">
        <f t="shared" ref="F27:K27" si="1">SUM(F2:F26)</f>
        <v>1017365.4138226704</v>
      </c>
      <c r="G27" s="41">
        <f t="shared" si="1"/>
        <v>765252.98945958319</v>
      </c>
      <c r="H27" s="41">
        <f t="shared" si="1"/>
        <v>785037.76603210263</v>
      </c>
      <c r="I27" s="41">
        <f t="shared" si="1"/>
        <v>723826.08400000015</v>
      </c>
      <c r="J27" s="41">
        <f t="shared" si="1"/>
        <v>891204</v>
      </c>
      <c r="K27" s="41">
        <f t="shared" si="1"/>
        <v>735327</v>
      </c>
      <c r="L27" s="41">
        <f t="shared" ref="L27:Q27" si="2">SUM(L2:L26)</f>
        <v>841144</v>
      </c>
      <c r="M27" s="41">
        <f t="shared" si="2"/>
        <v>736715</v>
      </c>
      <c r="N27" s="41">
        <f t="shared" si="2"/>
        <v>636480</v>
      </c>
      <c r="O27" s="41">
        <f t="shared" si="2"/>
        <v>855322</v>
      </c>
      <c r="P27" s="41">
        <f t="shared" si="2"/>
        <v>665866</v>
      </c>
      <c r="Q27" s="41">
        <f t="shared" si="2"/>
        <v>702279</v>
      </c>
      <c r="R27" s="41">
        <f t="shared" ref="R27:W27" si="3">SUM(R2:R26)</f>
        <v>580356</v>
      </c>
      <c r="S27" s="41">
        <f t="shared" si="3"/>
        <v>576909.25589836668</v>
      </c>
      <c r="T27" s="41">
        <f t="shared" si="3"/>
        <v>594174.22867513599</v>
      </c>
      <c r="U27" s="41">
        <f t="shared" si="3"/>
        <v>677011.79673321231</v>
      </c>
      <c r="V27" s="41">
        <f t="shared" si="3"/>
        <v>473452.81306715054</v>
      </c>
      <c r="W27" s="79">
        <f t="shared" si="3"/>
        <v>496568.05807622499</v>
      </c>
    </row>
    <row r="28" spans="1:28" x14ac:dyDescent="0.25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</row>
    <row r="29" spans="1:28" ht="13.8" thickBot="1" x14ac:dyDescent="0.3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0" spans="1:28" ht="13.8" thickBot="1" x14ac:dyDescent="0.3">
      <c r="A30" s="19" t="s">
        <v>24</v>
      </c>
      <c r="B30" s="119" t="s">
        <v>170</v>
      </c>
      <c r="C30" s="44" t="s">
        <v>171</v>
      </c>
      <c r="D30" s="67" t="s">
        <v>168</v>
      </c>
      <c r="E30" s="91">
        <v>45778</v>
      </c>
      <c r="F30" s="97">
        <v>45413</v>
      </c>
      <c r="G30" s="97">
        <v>45047</v>
      </c>
      <c r="H30" s="97">
        <v>44682</v>
      </c>
      <c r="I30" s="97">
        <v>44317</v>
      </c>
      <c r="J30" s="97">
        <v>43952</v>
      </c>
      <c r="K30" s="97">
        <v>43586</v>
      </c>
      <c r="L30" s="97">
        <v>43221</v>
      </c>
      <c r="M30" s="20">
        <v>42856</v>
      </c>
      <c r="N30" s="20">
        <v>42491</v>
      </c>
      <c r="O30" s="20">
        <v>42125</v>
      </c>
      <c r="P30" s="20">
        <v>41760</v>
      </c>
      <c r="Q30" s="20">
        <v>41395</v>
      </c>
      <c r="R30" s="20">
        <v>41030</v>
      </c>
      <c r="S30" s="20">
        <v>40664</v>
      </c>
      <c r="T30" s="20">
        <v>40299</v>
      </c>
      <c r="U30" s="20">
        <v>39934</v>
      </c>
      <c r="V30" s="20">
        <v>39569</v>
      </c>
      <c r="W30" s="21">
        <v>39203</v>
      </c>
    </row>
    <row r="31" spans="1:28" x14ac:dyDescent="0.25">
      <c r="A31" s="16" t="s">
        <v>40</v>
      </c>
      <c r="B31" s="22">
        <f t="shared" ref="B31:B40" si="4">IFERROR(((E31-F31)/F31),"")</f>
        <v>0.13880043364880315</v>
      </c>
      <c r="C31" s="102">
        <v>-9974.16</v>
      </c>
      <c r="D31" s="1">
        <v>-12596.52</v>
      </c>
      <c r="E31" s="92">
        <v>19433.060000000001</v>
      </c>
      <c r="F31" s="1">
        <v>17064.5</v>
      </c>
      <c r="G31" s="1">
        <v>26855.9</v>
      </c>
      <c r="H31" s="1">
        <v>34638.78</v>
      </c>
      <c r="I31" s="1">
        <v>25947.599999999999</v>
      </c>
      <c r="J31" s="1">
        <v>36281.760000000002</v>
      </c>
      <c r="K31" s="1">
        <v>36848</v>
      </c>
      <c r="L31" s="1">
        <v>28982</v>
      </c>
      <c r="M31" s="1">
        <v>31410</v>
      </c>
      <c r="N31" s="1">
        <v>22946.42</v>
      </c>
      <c r="O31" s="1">
        <v>47444.1</v>
      </c>
      <c r="P31" s="1">
        <v>37411.26</v>
      </c>
      <c r="Q31" s="1">
        <v>32805.58</v>
      </c>
      <c r="R31" s="1">
        <v>45217.34</v>
      </c>
      <c r="S31" s="1">
        <v>44904.46</v>
      </c>
      <c r="T31" s="1">
        <v>34129.78</v>
      </c>
      <c r="U31" s="1">
        <v>26999.98</v>
      </c>
      <c r="V31" s="1">
        <v>30892.32</v>
      </c>
      <c r="W31" s="24">
        <v>20243</v>
      </c>
    </row>
    <row r="32" spans="1:28" x14ac:dyDescent="0.25">
      <c r="A32" s="16" t="s">
        <v>41</v>
      </c>
      <c r="B32" s="22">
        <f t="shared" si="4"/>
        <v>-0.9992011962884384</v>
      </c>
      <c r="C32" s="102">
        <v>-68.459999999999994</v>
      </c>
      <c r="D32" s="1">
        <v>-3494.82</v>
      </c>
      <c r="E32" s="92">
        <v>2.5</v>
      </c>
      <c r="F32" s="1">
        <v>3129.68</v>
      </c>
      <c r="G32" s="1">
        <v>261.10000000000002</v>
      </c>
      <c r="H32" s="1">
        <v>1177.68</v>
      </c>
      <c r="I32" s="1">
        <v>2155.1999999999998</v>
      </c>
      <c r="J32" s="1">
        <v>529.08000000000004</v>
      </c>
      <c r="K32" s="1">
        <v>4018</v>
      </c>
      <c r="L32" s="1">
        <v>32</v>
      </c>
      <c r="M32" s="1">
        <v>2668</v>
      </c>
      <c r="N32" s="1">
        <v>1993.86</v>
      </c>
      <c r="O32" s="1">
        <v>2025.52</v>
      </c>
      <c r="P32" s="1">
        <v>1082.96</v>
      </c>
      <c r="Q32" s="1">
        <v>142.74</v>
      </c>
      <c r="R32" s="1">
        <v>3486.34</v>
      </c>
      <c r="S32" s="1">
        <v>171.24</v>
      </c>
      <c r="T32" s="1">
        <v>324.72000000000003</v>
      </c>
      <c r="U32" s="1">
        <v>774.94</v>
      </c>
      <c r="V32" s="1">
        <v>291.18</v>
      </c>
      <c r="W32" s="24">
        <v>141</v>
      </c>
    </row>
    <row r="33" spans="1:24" x14ac:dyDescent="0.25">
      <c r="A33" s="16" t="s">
        <v>42</v>
      </c>
      <c r="B33" s="22">
        <f t="shared" si="4"/>
        <v>0.12720545439427955</v>
      </c>
      <c r="C33" s="102">
        <v>-1364.1999999999998</v>
      </c>
      <c r="D33" s="1">
        <v>-7001.68</v>
      </c>
      <c r="E33" s="92">
        <v>2711.38</v>
      </c>
      <c r="F33" s="1">
        <v>2405.4</v>
      </c>
      <c r="G33" s="1">
        <v>2820.62</v>
      </c>
      <c r="H33" s="1">
        <v>4140.3599999999997</v>
      </c>
      <c r="I33" s="1">
        <v>2292.2199999999998</v>
      </c>
      <c r="J33" s="1">
        <v>4006.22</v>
      </c>
      <c r="K33" s="1">
        <v>3633</v>
      </c>
      <c r="L33" s="1">
        <v>2153</v>
      </c>
      <c r="M33" s="1">
        <v>3287</v>
      </c>
      <c r="N33" s="1">
        <v>490</v>
      </c>
      <c r="O33" s="1">
        <v>4551.22</v>
      </c>
      <c r="P33" s="1">
        <v>2980.02</v>
      </c>
      <c r="Q33" s="1">
        <v>1276.1400000000001</v>
      </c>
      <c r="R33" s="1">
        <v>3065.98</v>
      </c>
      <c r="S33" s="1">
        <v>2199.3000000000002</v>
      </c>
      <c r="T33" s="1">
        <v>1007.08</v>
      </c>
      <c r="U33" s="1">
        <v>2649.24</v>
      </c>
      <c r="V33" s="1">
        <v>1802.92</v>
      </c>
      <c r="W33" s="24">
        <v>1098</v>
      </c>
    </row>
    <row r="34" spans="1:24" hidden="1" x14ac:dyDescent="0.25">
      <c r="A34" s="16" t="s">
        <v>43</v>
      </c>
      <c r="B34" s="22" t="str">
        <f t="shared" si="4"/>
        <v/>
      </c>
      <c r="C34" s="102">
        <v>0</v>
      </c>
      <c r="D34" s="1">
        <v>-38.94</v>
      </c>
      <c r="E34" s="92"/>
      <c r="F34" s="1"/>
      <c r="G34" s="1"/>
      <c r="H34" s="1"/>
      <c r="I34" s="1"/>
      <c r="J34" s="1">
        <v>0</v>
      </c>
      <c r="K34" s="1">
        <v>0</v>
      </c>
      <c r="L34" s="1">
        <v>0</v>
      </c>
      <c r="M34" s="1">
        <v>2</v>
      </c>
      <c r="N34" s="1">
        <v>0</v>
      </c>
      <c r="O34" s="1">
        <v>0</v>
      </c>
      <c r="P34" s="1">
        <v>0</v>
      </c>
      <c r="Q34" s="1">
        <v>0</v>
      </c>
      <c r="R34" s="1">
        <v>107.98</v>
      </c>
      <c r="S34" s="1">
        <v>0</v>
      </c>
      <c r="T34" s="1">
        <v>0</v>
      </c>
      <c r="U34" s="1">
        <v>20.96</v>
      </c>
      <c r="V34" s="1">
        <v>0.2</v>
      </c>
      <c r="W34" s="24">
        <v>0</v>
      </c>
    </row>
    <row r="35" spans="1:24" hidden="1" x14ac:dyDescent="0.25">
      <c r="A35" s="16" t="s">
        <v>150</v>
      </c>
      <c r="B35" s="22" t="str">
        <f t="shared" si="4"/>
        <v/>
      </c>
      <c r="C35" s="102">
        <v>0</v>
      </c>
      <c r="D35" s="1">
        <v>0</v>
      </c>
      <c r="E35" s="92"/>
      <c r="F35" s="1"/>
      <c r="G35" s="1"/>
      <c r="H35" s="1"/>
      <c r="I35" s="1"/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/>
      <c r="U35" s="1"/>
      <c r="V35" s="1"/>
      <c r="W35" s="24"/>
    </row>
    <row r="36" spans="1:24" hidden="1" x14ac:dyDescent="0.25">
      <c r="A36" s="16" t="s">
        <v>44</v>
      </c>
      <c r="B36" s="22" t="str">
        <f t="shared" si="4"/>
        <v/>
      </c>
      <c r="C36" s="102">
        <v>0</v>
      </c>
      <c r="D36" s="1">
        <v>0</v>
      </c>
      <c r="E36" s="92"/>
      <c r="F36" s="1"/>
      <c r="G36" s="1"/>
      <c r="H36" s="1"/>
      <c r="I36" s="1"/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1.04</v>
      </c>
      <c r="S36" s="1">
        <v>5.6</v>
      </c>
      <c r="T36" s="1">
        <v>0</v>
      </c>
      <c r="U36" s="1">
        <v>0</v>
      </c>
      <c r="V36" s="1">
        <v>0</v>
      </c>
      <c r="W36" s="24">
        <v>0</v>
      </c>
    </row>
    <row r="37" spans="1:24" hidden="1" x14ac:dyDescent="0.25">
      <c r="A37" s="16" t="s">
        <v>163</v>
      </c>
      <c r="B37" s="22" t="str">
        <f t="shared" si="4"/>
        <v/>
      </c>
      <c r="C37" s="102">
        <v>0</v>
      </c>
      <c r="D37" s="1">
        <v>-53.74</v>
      </c>
      <c r="E37" s="92"/>
      <c r="F37" s="1"/>
      <c r="G37" s="1"/>
      <c r="H37" s="1"/>
      <c r="I37" s="1"/>
      <c r="J37" s="1">
        <v>0</v>
      </c>
      <c r="K37" s="1">
        <v>0</v>
      </c>
      <c r="L37" s="1">
        <v>0</v>
      </c>
      <c r="M37" s="1">
        <v>2</v>
      </c>
      <c r="N37" s="1"/>
      <c r="O37" s="1"/>
      <c r="P37" s="1"/>
      <c r="Q37" s="1"/>
      <c r="R37" s="1"/>
      <c r="S37" s="1"/>
      <c r="T37" s="1"/>
      <c r="U37" s="1"/>
      <c r="V37" s="1"/>
      <c r="W37" s="24"/>
    </row>
    <row r="38" spans="1:24" hidden="1" x14ac:dyDescent="0.25">
      <c r="A38" s="16" t="s">
        <v>45</v>
      </c>
      <c r="B38" s="120" t="str">
        <f t="shared" si="4"/>
        <v/>
      </c>
      <c r="C38" s="121">
        <v>0</v>
      </c>
      <c r="D38" s="1">
        <v>0</v>
      </c>
      <c r="E38" s="92"/>
      <c r="F38" s="1"/>
      <c r="G38" s="1"/>
      <c r="H38" s="1"/>
      <c r="I38" s="1"/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24">
        <v>0</v>
      </c>
    </row>
    <row r="39" spans="1:24" ht="13.8" thickBot="1" x14ac:dyDescent="0.3">
      <c r="A39" s="16" t="s">
        <v>173</v>
      </c>
      <c r="B39" s="22">
        <f t="shared" si="4"/>
        <v>-1</v>
      </c>
      <c r="C39" s="102">
        <v>0</v>
      </c>
      <c r="D39" s="1">
        <v>-32.06</v>
      </c>
      <c r="E39" s="92">
        <v>0</v>
      </c>
      <c r="F39" s="1">
        <v>3.04</v>
      </c>
      <c r="G39" s="1">
        <v>0</v>
      </c>
      <c r="H39" s="1">
        <v>0.02</v>
      </c>
      <c r="I39" s="1">
        <v>0</v>
      </c>
      <c r="J39" s="1">
        <v>0</v>
      </c>
      <c r="K39" s="1">
        <v>0</v>
      </c>
      <c r="L39" s="1">
        <v>0</v>
      </c>
      <c r="M39" s="1">
        <v>1</v>
      </c>
      <c r="N39" s="1">
        <v>28</v>
      </c>
      <c r="O39" s="1">
        <v>16.36</v>
      </c>
      <c r="P39" s="1">
        <v>4.76</v>
      </c>
      <c r="Q39" s="1">
        <v>1.22</v>
      </c>
      <c r="R39" s="1">
        <v>0</v>
      </c>
      <c r="S39" s="1">
        <v>0.08</v>
      </c>
      <c r="T39" s="1">
        <v>1</v>
      </c>
      <c r="U39" s="1">
        <v>48.94</v>
      </c>
      <c r="V39" s="1">
        <v>18.82</v>
      </c>
      <c r="W39" s="24">
        <v>110</v>
      </c>
    </row>
    <row r="40" spans="1:24" ht="13.8" hidden="1" thickBot="1" x14ac:dyDescent="0.3">
      <c r="A40" s="16" t="s">
        <v>46</v>
      </c>
      <c r="B40" s="22" t="str">
        <f t="shared" si="4"/>
        <v/>
      </c>
      <c r="C40" s="102">
        <v>-1.68</v>
      </c>
      <c r="D40" s="1">
        <v>-11.78</v>
      </c>
      <c r="E40" s="92"/>
      <c r="F40" s="9"/>
      <c r="G40" s="9"/>
      <c r="H40" s="9"/>
      <c r="I40" s="9"/>
      <c r="J40" s="9">
        <v>0</v>
      </c>
      <c r="K40" s="9">
        <v>0</v>
      </c>
      <c r="L40" s="9">
        <v>0</v>
      </c>
      <c r="M40" s="6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/>
      <c r="T40" s="9"/>
      <c r="U40" s="9"/>
      <c r="V40" s="9">
        <v>0</v>
      </c>
      <c r="W40" s="26">
        <v>0</v>
      </c>
    </row>
    <row r="41" spans="1:24" ht="13.8" thickBot="1" x14ac:dyDescent="0.3">
      <c r="A41" s="19" t="s">
        <v>22</v>
      </c>
      <c r="B41" s="108">
        <f>IFERROR(((E41-F41)/F41),"")</f>
        <v>-2.0160494668317222E-2</v>
      </c>
      <c r="C41" s="109">
        <v>-11408.5</v>
      </c>
      <c r="D41" s="41">
        <v>-23229.54</v>
      </c>
      <c r="E41" s="40">
        <f>SUM(E31:E40)</f>
        <v>22146.940000000002</v>
      </c>
      <c r="F41" s="41">
        <f>SUM(F31:F39)</f>
        <v>22602.620000000003</v>
      </c>
      <c r="G41" s="41">
        <f>SUM(G31:G40)</f>
        <v>29937.62</v>
      </c>
      <c r="H41" s="41">
        <f>SUM(H31:H40)</f>
        <v>39956.839999999997</v>
      </c>
      <c r="I41" s="41">
        <f>SUM(I31:I40)</f>
        <v>30395.02</v>
      </c>
      <c r="J41" s="41">
        <f>SUM(J31:J40)</f>
        <v>40817.060000000005</v>
      </c>
      <c r="K41" s="41">
        <f t="shared" ref="K41:P41" si="5">SUM(K31:K40)</f>
        <v>44499</v>
      </c>
      <c r="L41" s="41">
        <f t="shared" si="5"/>
        <v>31167</v>
      </c>
      <c r="M41" s="41">
        <f t="shared" si="5"/>
        <v>37370</v>
      </c>
      <c r="N41" s="41">
        <f t="shared" si="5"/>
        <v>25458.28</v>
      </c>
      <c r="O41" s="41">
        <f t="shared" si="5"/>
        <v>54037.2</v>
      </c>
      <c r="P41" s="41">
        <f t="shared" si="5"/>
        <v>41479</v>
      </c>
      <c r="Q41" s="41">
        <f t="shared" ref="Q41:W41" si="6">SUM(Q31:Q40)</f>
        <v>34225.68</v>
      </c>
      <c r="R41" s="41">
        <f t="shared" si="6"/>
        <v>51878.68</v>
      </c>
      <c r="S41" s="41">
        <f t="shared" si="6"/>
        <v>47280.68</v>
      </c>
      <c r="T41" s="41">
        <f t="shared" si="6"/>
        <v>35462.58</v>
      </c>
      <c r="U41" s="41">
        <f t="shared" si="6"/>
        <v>30494.059999999994</v>
      </c>
      <c r="V41" s="41">
        <f t="shared" si="6"/>
        <v>33005.439999999995</v>
      </c>
      <c r="W41" s="79">
        <f t="shared" si="6"/>
        <v>21592</v>
      </c>
    </row>
    <row r="48" spans="1:24" ht="17.399999999999999" x14ac:dyDescent="0.3">
      <c r="V48" s="5"/>
      <c r="W48" s="1"/>
      <c r="X48" s="1"/>
    </row>
    <row r="49" spans="22:24" ht="17.399999999999999" x14ac:dyDescent="0.3">
      <c r="V49" s="5"/>
      <c r="W49" s="1"/>
      <c r="X49" s="1"/>
    </row>
    <row r="50" spans="22:24" ht="17.399999999999999" x14ac:dyDescent="0.3">
      <c r="V50" s="5"/>
      <c r="W50" s="1"/>
      <c r="X50" s="1"/>
    </row>
    <row r="51" spans="22:24" ht="17.399999999999999" x14ac:dyDescent="0.3">
      <c r="V51" s="5"/>
      <c r="W51" s="1"/>
      <c r="X51" s="1"/>
    </row>
    <row r="52" spans="22:24" ht="17.399999999999999" x14ac:dyDescent="0.3">
      <c r="V52" s="5"/>
      <c r="W52" s="1"/>
      <c r="X52" s="1"/>
    </row>
    <row r="53" spans="22:24" ht="17.399999999999999" x14ac:dyDescent="0.3">
      <c r="V53" s="5"/>
      <c r="W53" s="1"/>
      <c r="X53" s="1"/>
    </row>
    <row r="54" spans="22:24" ht="17.399999999999999" x14ac:dyDescent="0.3">
      <c r="V54" s="5"/>
      <c r="W54" s="1"/>
      <c r="X54" s="1"/>
    </row>
    <row r="55" spans="22:24" ht="17.399999999999999" x14ac:dyDescent="0.3">
      <c r="V55" s="5"/>
      <c r="W55" s="1"/>
      <c r="X55" s="1"/>
    </row>
    <row r="56" spans="22:24" ht="17.399999999999999" x14ac:dyDescent="0.3">
      <c r="V56" s="5"/>
      <c r="W56" s="1"/>
      <c r="X56" s="1"/>
    </row>
    <row r="57" spans="22:24" ht="17.399999999999999" x14ac:dyDescent="0.3">
      <c r="V57" s="5"/>
      <c r="W57" s="1"/>
      <c r="X57" s="1"/>
    </row>
    <row r="58" spans="22:24" ht="17.399999999999999" x14ac:dyDescent="0.3">
      <c r="V58" s="6"/>
      <c r="W58" s="1"/>
      <c r="X58" s="1"/>
    </row>
    <row r="59" spans="22:24" ht="18" x14ac:dyDescent="0.35">
      <c r="V59" s="7"/>
      <c r="W59" s="2"/>
      <c r="X59" s="2"/>
    </row>
  </sheetData>
  <phoneticPr fontId="2" type="noConversion"/>
  <conditionalFormatting sqref="E1:E2">
    <cfRule type="expression" dxfId="34" priority="2">
      <formula>ISBLANK(XFD1)=FALSE</formula>
    </cfRule>
  </conditionalFormatting>
  <conditionalFormatting sqref="E3:E11">
    <cfRule type="expression" dxfId="33" priority="6">
      <formula>ISBLANK(A3)=FALSE</formula>
    </cfRule>
  </conditionalFormatting>
  <conditionalFormatting sqref="E12 E17 E24">
    <cfRule type="expression" dxfId="32" priority="7">
      <formula>ISBLANK(XFD12)=FALSE</formula>
    </cfRule>
  </conditionalFormatting>
  <conditionalFormatting sqref="E13:E16">
    <cfRule type="expression" dxfId="31" priority="5">
      <formula>ISBLANK(A13)=FALSE</formula>
    </cfRule>
  </conditionalFormatting>
  <conditionalFormatting sqref="E18:E23">
    <cfRule type="expression" dxfId="30" priority="4">
      <formula>ISBLANK(A18)=FALSE</formula>
    </cfRule>
  </conditionalFormatting>
  <conditionalFormatting sqref="E25">
    <cfRule type="expression" dxfId="29" priority="3">
      <formula>ISBLANK(A25)=FALSE</formula>
    </cfRule>
  </conditionalFormatting>
  <conditionalFormatting sqref="E26:E41">
    <cfRule type="expression" dxfId="28" priority="1">
      <formula>ISBLANK(XFD26)=FALSE</formula>
    </cfRule>
  </conditionalFormatting>
  <pageMargins left="0.75" right="0.75" top="1" bottom="1" header="0.5" footer="0.5"/>
  <pageSetup paperSize="9" scale="85" orientation="landscape"/>
  <headerFooter alignWithMargins="0"/>
  <ignoredErrors>
    <ignoredError sqref="H4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Y81"/>
  <sheetViews>
    <sheetView tabSelected="1" zoomScaleNormal="100" workbookViewId="0"/>
  </sheetViews>
  <sheetFormatPr defaultColWidth="9.109375" defaultRowHeight="13.2" x14ac:dyDescent="0.25"/>
  <cols>
    <col min="1" max="1" width="21.6640625" customWidth="1"/>
    <col min="2" max="2" width="10.6640625" customWidth="1"/>
    <col min="3" max="3" width="11.33203125" customWidth="1"/>
    <col min="4" max="4" width="11.33203125" bestFit="1" customWidth="1"/>
    <col min="5" max="5" width="11.33203125" customWidth="1"/>
    <col min="6" max="12" width="11.6640625" customWidth="1"/>
    <col min="13" max="13" width="10.6640625" customWidth="1"/>
    <col min="14" max="23" width="10.109375" bestFit="1" customWidth="1"/>
  </cols>
  <sheetData>
    <row r="1" spans="1:25" ht="13.8" thickBot="1" x14ac:dyDescent="0.3">
      <c r="A1" s="34" t="s">
        <v>90</v>
      </c>
      <c r="B1" s="119" t="s">
        <v>170</v>
      </c>
      <c r="C1" s="44" t="s">
        <v>171</v>
      </c>
      <c r="D1" s="67" t="s">
        <v>168</v>
      </c>
      <c r="E1" s="91">
        <v>45778</v>
      </c>
      <c r="F1" s="97">
        <v>45413</v>
      </c>
      <c r="G1" s="97">
        <v>45047</v>
      </c>
      <c r="H1" s="97">
        <v>44682</v>
      </c>
      <c r="I1" s="97">
        <v>44317</v>
      </c>
      <c r="J1" s="97">
        <v>43952</v>
      </c>
      <c r="K1" s="97">
        <v>43586</v>
      </c>
      <c r="L1" s="97">
        <v>43221</v>
      </c>
      <c r="M1" s="20">
        <v>42856</v>
      </c>
      <c r="N1" s="20">
        <v>42491</v>
      </c>
      <c r="O1" s="20">
        <v>42125</v>
      </c>
      <c r="P1" s="20">
        <v>41760</v>
      </c>
      <c r="Q1" s="20">
        <v>41395</v>
      </c>
      <c r="R1" s="20">
        <v>41030</v>
      </c>
      <c r="S1" s="20">
        <v>40664</v>
      </c>
      <c r="T1" s="20">
        <v>40299</v>
      </c>
      <c r="U1" s="20">
        <v>39934</v>
      </c>
      <c r="V1" s="20">
        <v>39569</v>
      </c>
      <c r="W1" s="21">
        <v>39203</v>
      </c>
    </row>
    <row r="2" spans="1:25" x14ac:dyDescent="0.25">
      <c r="A2" s="122" t="s">
        <v>8</v>
      </c>
      <c r="B2" s="22">
        <f t="shared" ref="B2:B16" si="0">IFERROR(((E2-F2)/F2),"")</f>
        <v>-0.5732746377967316</v>
      </c>
      <c r="C2" s="102">
        <f>Austria!C$21</f>
        <v>-9616.3131258125777</v>
      </c>
      <c r="D2" s="1">
        <f>Austria!D$21</f>
        <v>-13241.272083131109</v>
      </c>
      <c r="E2" s="92">
        <f>Austria!E$21</f>
        <v>16100.887077439458</v>
      </c>
      <c r="F2" s="1">
        <f>Austria!F$21</f>
        <v>37731.263485974581</v>
      </c>
      <c r="G2" s="1">
        <f>Austria!G$21</f>
        <v>52907.106038291611</v>
      </c>
      <c r="H2" s="1">
        <f>Austria!H$21</f>
        <v>43514.727540500731</v>
      </c>
      <c r="I2" s="1">
        <f>Austria!I$21</f>
        <v>46417.479699999996</v>
      </c>
      <c r="J2" s="1">
        <f>Austria!J$21</f>
        <v>29214.682540000002</v>
      </c>
      <c r="K2" s="1">
        <f>Austria!K$21</f>
        <v>60383</v>
      </c>
      <c r="L2" s="1">
        <f>Austria!L$21</f>
        <v>19309</v>
      </c>
      <c r="M2" s="1">
        <f>Austria!M$21</f>
        <v>11133.179999999998</v>
      </c>
      <c r="N2" s="1">
        <f>Austria!N$21</f>
        <v>58317.719999999987</v>
      </c>
      <c r="O2" s="1">
        <f>Austria!O$21</f>
        <v>55104.09</v>
      </c>
      <c r="P2" s="1">
        <f>Austria!P$21</f>
        <v>59629.040000000008</v>
      </c>
      <c r="Q2" s="1">
        <f>Austria!Q$21</f>
        <v>42748</v>
      </c>
      <c r="R2" s="1">
        <f>Austria!R$21</f>
        <v>66064</v>
      </c>
      <c r="S2" s="1">
        <f>Austria!S$21</f>
        <v>56988</v>
      </c>
      <c r="T2" s="1">
        <f>Austria!T$21</f>
        <v>62949</v>
      </c>
      <c r="U2" s="1">
        <f>Austria!U$21</f>
        <v>63437</v>
      </c>
      <c r="V2" s="1">
        <f>Austria!V$21</f>
        <v>44639</v>
      </c>
      <c r="W2" s="24">
        <f>Austria!W$21</f>
        <v>47303</v>
      </c>
      <c r="Y2" s="3"/>
    </row>
    <row r="3" spans="1:25" x14ac:dyDescent="0.25">
      <c r="A3" s="122" t="s">
        <v>0</v>
      </c>
      <c r="B3" s="22">
        <f t="shared" si="0"/>
        <v>-0.42407128960929069</v>
      </c>
      <c r="C3" s="102">
        <f>Belgium!C$10</f>
        <v>-11911.888884737848</v>
      </c>
      <c r="D3" s="1">
        <f>Belgium!D$10</f>
        <v>-12403.353468009722</v>
      </c>
      <c r="E3" s="92">
        <f>Belgium!E$10</f>
        <v>19444.75108460513</v>
      </c>
      <c r="F3" s="1">
        <f>Belgium!F$10</f>
        <v>33762.427074374944</v>
      </c>
      <c r="G3" s="1">
        <f>Belgium!G$10</f>
        <v>29731</v>
      </c>
      <c r="H3" s="1">
        <f>Belgium!H$10</f>
        <v>65910</v>
      </c>
      <c r="I3" s="1">
        <f>Belgium!I$10</f>
        <v>32593.604166974346</v>
      </c>
      <c r="J3" s="1">
        <f>Belgium!J$10</f>
        <v>61460</v>
      </c>
      <c r="K3" s="1">
        <f>Belgium!K$10</f>
        <v>55531</v>
      </c>
      <c r="L3" s="1">
        <f>Belgium!L$10</f>
        <v>5106</v>
      </c>
      <c r="M3" s="1">
        <f>Belgium!M$10</f>
        <v>32190</v>
      </c>
      <c r="N3" s="1">
        <f>Belgium!N$10</f>
        <v>60375</v>
      </c>
      <c r="O3" s="1">
        <f>Belgium!O$10</f>
        <v>65646</v>
      </c>
      <c r="P3" s="1">
        <f>Belgium!P$10</f>
        <v>33733</v>
      </c>
      <c r="Q3" s="1">
        <f>Belgium!Q$10</f>
        <v>26067</v>
      </c>
      <c r="R3" s="1">
        <f>Belgium!R$10</f>
        <v>43210</v>
      </c>
      <c r="S3" s="1">
        <f>Belgium!S$10</f>
        <v>44761</v>
      </c>
      <c r="T3" s="1">
        <f>Belgium!T$10</f>
        <v>81942</v>
      </c>
      <c r="U3" s="1">
        <f>Belgium!U$10</f>
        <v>117300</v>
      </c>
      <c r="V3" s="1">
        <f>Belgium!V$10</f>
        <v>112900</v>
      </c>
      <c r="W3" s="24">
        <f>Belgium!W$10</f>
        <v>91500</v>
      </c>
    </row>
    <row r="4" spans="1:25" x14ac:dyDescent="0.25">
      <c r="A4" s="122" t="s">
        <v>30</v>
      </c>
      <c r="B4" s="22">
        <f t="shared" si="0"/>
        <v>-0.73489963092987665</v>
      </c>
      <c r="C4" s="102">
        <f>'Czech Republic'!C12</f>
        <v>-2072</v>
      </c>
      <c r="D4" s="1">
        <f>'Czech Republic'!D12</f>
        <v>-4570</v>
      </c>
      <c r="E4" s="92">
        <f>'Czech Republic'!E12</f>
        <v>2945</v>
      </c>
      <c r="F4" s="1">
        <f>'Czech Republic'!F12</f>
        <v>11109</v>
      </c>
      <c r="G4" s="1">
        <f>'Czech Republic'!G12</f>
        <v>14207</v>
      </c>
      <c r="H4" s="1">
        <f>'Czech Republic'!H12</f>
        <v>13525</v>
      </c>
      <c r="I4" s="1">
        <f>'Czech Republic'!I12</f>
        <v>13620</v>
      </c>
      <c r="J4" s="1">
        <f>'Czech Republic'!J12</f>
        <v>7904</v>
      </c>
      <c r="K4" s="1">
        <f>'Czech Republic'!K$12</f>
        <v>17678</v>
      </c>
      <c r="L4" s="1">
        <f>'Czech Republic'!L$12</f>
        <v>7477</v>
      </c>
      <c r="M4" s="1">
        <f>'Czech Republic'!M$12</f>
        <v>6992</v>
      </c>
      <c r="N4" s="1">
        <f>'Czech Republic'!N$12</f>
        <v>13663</v>
      </c>
      <c r="O4" s="1">
        <f>'Czech Republic'!O$12</f>
        <v>6468</v>
      </c>
      <c r="P4" s="1">
        <f>'Czech Republic'!P$12</f>
        <v>8347</v>
      </c>
      <c r="Q4" s="1">
        <f>'Czech Republic'!Q$12</f>
        <v>5829</v>
      </c>
      <c r="R4" s="1">
        <f>'Czech Republic'!R$12</f>
        <v>2779</v>
      </c>
      <c r="S4" s="1">
        <f>'Czech Republic'!S$12</f>
        <v>3439</v>
      </c>
      <c r="T4" s="1">
        <f>'Czech Republic'!T$12</f>
        <v>9487</v>
      </c>
      <c r="U4" s="1">
        <f>'Czech Republic'!U$12</f>
        <v>8598</v>
      </c>
      <c r="V4" s="1">
        <f>'Czech Republic'!V$12</f>
        <v>3278</v>
      </c>
      <c r="W4" s="24">
        <f>'Czech Republic'!W$12</f>
        <v>7680</v>
      </c>
      <c r="Y4" s="3"/>
    </row>
    <row r="5" spans="1:25" x14ac:dyDescent="0.25">
      <c r="A5" s="122" t="s">
        <v>39</v>
      </c>
      <c r="B5" s="22" t="str">
        <f t="shared" si="0"/>
        <v/>
      </c>
      <c r="C5" s="102">
        <f>Denmark!C$20</f>
        <v>-1700</v>
      </c>
      <c r="D5" s="1">
        <f>Denmark!D$20</f>
        <v>-611</v>
      </c>
      <c r="E5" s="92">
        <f>Denmark!E$20</f>
        <v>2090</v>
      </c>
      <c r="F5" s="1">
        <f>Denmark!F$20</f>
        <v>0</v>
      </c>
      <c r="G5" s="1">
        <f>Denmark!G$20</f>
        <v>1181</v>
      </c>
      <c r="H5" s="1">
        <f>Denmark!H$20</f>
        <v>2151</v>
      </c>
      <c r="I5" s="1">
        <f>Denmark!I$20</f>
        <v>325</v>
      </c>
      <c r="J5" s="1">
        <f>Denmark!J$21</f>
        <v>0</v>
      </c>
      <c r="K5" s="1">
        <f>Denmark!K$20</f>
        <v>3116</v>
      </c>
      <c r="L5" s="1">
        <f>Denmark!L$20</f>
        <v>0</v>
      </c>
      <c r="M5" s="1">
        <f>Denmark!M$20</f>
        <v>2047</v>
      </c>
      <c r="N5" s="1">
        <f>Denmark!N$20</f>
        <v>2124</v>
      </c>
      <c r="O5" s="1">
        <f>Denmark!O$20</f>
        <v>413</v>
      </c>
      <c r="P5" s="1">
        <f>Denmark!P$20</f>
        <v>40</v>
      </c>
      <c r="Q5" s="1">
        <f>Denmark!Q$20</f>
        <v>65</v>
      </c>
      <c r="R5" s="1">
        <f>Denmark!R$20</f>
        <v>512</v>
      </c>
      <c r="S5" s="1">
        <f>Denmark!S$20</f>
        <v>0</v>
      </c>
      <c r="T5" s="1">
        <f>Denmark!T$20</f>
        <v>181</v>
      </c>
      <c r="U5" s="1">
        <f>Denmark!U$20</f>
        <v>363</v>
      </c>
      <c r="V5" s="1">
        <f>Denmark!V$20</f>
        <v>0</v>
      </c>
      <c r="W5" s="24">
        <f>Denmark!W$20</f>
        <v>0</v>
      </c>
      <c r="Y5" s="3"/>
    </row>
    <row r="6" spans="1:25" ht="14.4" x14ac:dyDescent="0.3">
      <c r="A6" s="35" t="s">
        <v>131</v>
      </c>
      <c r="B6" s="22">
        <f t="shared" si="0"/>
        <v>0.13491688779416516</v>
      </c>
      <c r="C6" s="102">
        <f>France!C$26</f>
        <v>-88555.090000000026</v>
      </c>
      <c r="D6" s="1">
        <f>France!D$26</f>
        <v>-102923</v>
      </c>
      <c r="E6" s="92">
        <f>France!E$26</f>
        <v>225312.77990000002</v>
      </c>
      <c r="F6" s="1">
        <f>France!F$26</f>
        <v>198528</v>
      </c>
      <c r="G6" s="1">
        <f>France!G$26</f>
        <v>175575</v>
      </c>
      <c r="H6" s="1">
        <f>France!H$26</f>
        <v>201141</v>
      </c>
      <c r="I6" s="1">
        <f>France!I$26</f>
        <v>153260</v>
      </c>
      <c r="J6" s="1">
        <f>France!J$26</f>
        <v>225009</v>
      </c>
      <c r="K6" s="1">
        <f>France!K$26</f>
        <v>195306</v>
      </c>
      <c r="L6" s="1">
        <f>France!L$26</f>
        <v>152492</v>
      </c>
      <c r="M6" s="33">
        <f>France!M$26</f>
        <v>193537</v>
      </c>
      <c r="N6" s="33">
        <f>France!N$26</f>
        <v>187060</v>
      </c>
      <c r="O6" s="33">
        <f>France!O$26</f>
        <v>165800</v>
      </c>
      <c r="P6" s="33">
        <f>France!P$26</f>
        <v>232375</v>
      </c>
      <c r="Q6" s="33">
        <f>France!Q$26</f>
        <v>79086</v>
      </c>
      <c r="R6" s="33">
        <f>France!R$26</f>
        <v>180162</v>
      </c>
      <c r="S6" s="33">
        <f>France!S$26</f>
        <v>167845</v>
      </c>
      <c r="T6" s="33">
        <f>France!T$26</f>
        <v>196815</v>
      </c>
      <c r="U6" s="84"/>
      <c r="V6" s="84"/>
      <c r="W6" s="64"/>
      <c r="Y6" s="3"/>
    </row>
    <row r="7" spans="1:25" x14ac:dyDescent="0.25">
      <c r="A7" s="122" t="s">
        <v>27</v>
      </c>
      <c r="B7" s="22">
        <f t="shared" si="0"/>
        <v>-6.6105091375979461E-2</v>
      </c>
      <c r="C7" s="102">
        <f>Germany!C$21</f>
        <v>-36729</v>
      </c>
      <c r="D7" s="1">
        <f>Germany!D$21</f>
        <v>-44992</v>
      </c>
      <c r="E7" s="92">
        <f>Germany!E$21</f>
        <v>77828</v>
      </c>
      <c r="F7" s="1">
        <f>Germany!F$21</f>
        <v>83337</v>
      </c>
      <c r="G7" s="1">
        <f>Germany!G$21</f>
        <v>108779</v>
      </c>
      <c r="H7" s="1">
        <f>Germany!H$21</f>
        <v>127239</v>
      </c>
      <c r="I7" s="1">
        <f>Germany!I$21</f>
        <v>96853</v>
      </c>
      <c r="J7" s="1">
        <f>Germany!J$21</f>
        <v>70907</v>
      </c>
      <c r="K7" s="1">
        <f>Germany!K$21</f>
        <v>133973</v>
      </c>
      <c r="L7" s="1">
        <f>Germany!L$21</f>
        <v>45265</v>
      </c>
      <c r="M7" s="1">
        <f>Germany!M$21</f>
        <v>126892</v>
      </c>
      <c r="N7" s="1">
        <f>Germany!N$21</f>
        <v>111865</v>
      </c>
      <c r="O7" s="1">
        <f>Germany!O$21</f>
        <v>114233</v>
      </c>
      <c r="P7" s="1">
        <f>Germany!P$21</f>
        <v>92405</v>
      </c>
      <c r="Q7" s="1">
        <f>Germany!Q$21</f>
        <v>100504</v>
      </c>
      <c r="R7" s="1">
        <f>Germany!R$21</f>
        <v>102789</v>
      </c>
      <c r="S7" s="1">
        <f>Germany!S$21</f>
        <v>73197</v>
      </c>
      <c r="T7" s="1">
        <f>Germany!T$21</f>
        <v>106501</v>
      </c>
      <c r="U7" s="1">
        <f>Germany!U$21</f>
        <v>95395</v>
      </c>
      <c r="V7" s="1">
        <f>Germany!V$21</f>
        <v>62503</v>
      </c>
      <c r="W7" s="24">
        <f>Germany!W$21</f>
        <v>78127</v>
      </c>
      <c r="Y7" s="3"/>
    </row>
    <row r="8" spans="1:25" x14ac:dyDescent="0.25">
      <c r="A8" s="122" t="s">
        <v>16</v>
      </c>
      <c r="B8" s="22">
        <f t="shared" si="0"/>
        <v>3.0506811129317859E-3</v>
      </c>
      <c r="C8" s="102">
        <f>Italy!C20</f>
        <v>-196149.29512175365</v>
      </c>
      <c r="D8" s="1">
        <f>Italy!D20</f>
        <v>-189611.66505738802</v>
      </c>
      <c r="E8" s="92">
        <f>Italy!E20</f>
        <v>448685.4323936954</v>
      </c>
      <c r="F8" s="1">
        <f>Italy!F20</f>
        <v>447320.79927991063</v>
      </c>
      <c r="G8" s="1">
        <f>Italy!G20</f>
        <v>378311.58303156769</v>
      </c>
      <c r="H8" s="1">
        <f>Italy!H20</f>
        <v>449719.4097663674</v>
      </c>
      <c r="I8" s="1">
        <f>Italy!I20</f>
        <v>415547.25</v>
      </c>
      <c r="J8" s="1">
        <f>Italy!J20</f>
        <v>352379.16</v>
      </c>
      <c r="K8" s="1">
        <f>Italy!K$20</f>
        <v>501275.62999999995</v>
      </c>
      <c r="L8" s="1">
        <f>Italy!L$20</f>
        <v>185842.63999999996</v>
      </c>
      <c r="M8" s="1">
        <f>Italy!M$20</f>
        <v>470610.35500000004</v>
      </c>
      <c r="N8" s="1">
        <f>Italy!N$20</f>
        <v>465821.10499999992</v>
      </c>
      <c r="O8" s="1">
        <f>Italy!O$20</f>
        <v>455710</v>
      </c>
      <c r="P8" s="1">
        <f>Italy!P$20</f>
        <v>412022</v>
      </c>
      <c r="Q8" s="1">
        <f>Italy!Q$20</f>
        <v>283337</v>
      </c>
      <c r="R8" s="1">
        <f>Italy!R$20</f>
        <v>383810</v>
      </c>
      <c r="S8" s="1">
        <f>Italy!S$20</f>
        <v>371916</v>
      </c>
      <c r="T8" s="1">
        <f>Italy!T$20</f>
        <v>374740.32</v>
      </c>
      <c r="U8" s="1">
        <f>Italy!U$20</f>
        <v>394307.89999999997</v>
      </c>
      <c r="V8" s="1">
        <f>Italy!V$20</f>
        <v>267141.60000000003</v>
      </c>
      <c r="W8" s="24">
        <f>Italy!W$20</f>
        <v>315450.49999999994</v>
      </c>
    </row>
    <row r="9" spans="1:25" x14ac:dyDescent="0.25">
      <c r="A9" s="35" t="s">
        <v>31</v>
      </c>
      <c r="B9" s="22">
        <f t="shared" si="0"/>
        <v>-0.27795527156549521</v>
      </c>
      <c r="C9" s="102">
        <f>Poland!C$18</f>
        <v>-153000</v>
      </c>
      <c r="D9" s="1">
        <f>Poland!D$18</f>
        <v>-192000</v>
      </c>
      <c r="E9" s="92">
        <f>Poland!E$18</f>
        <v>226000</v>
      </c>
      <c r="F9" s="1">
        <f>Poland!F$18</f>
        <v>313000</v>
      </c>
      <c r="G9" s="1">
        <f>Poland!G$18</f>
        <v>333000</v>
      </c>
      <c r="H9" s="1">
        <f>Poland!H$18</f>
        <v>418000</v>
      </c>
      <c r="I9" s="1">
        <f>Poland!I$18</f>
        <v>398000</v>
      </c>
      <c r="J9" s="1">
        <f>Poland!J$18</f>
        <v>163000</v>
      </c>
      <c r="K9" s="1">
        <f>Poland!K$18</f>
        <v>405000</v>
      </c>
      <c r="L9" s="1">
        <f>Poland!L$18</f>
        <v>177000</v>
      </c>
      <c r="M9" s="33">
        <f>Poland!M$18</f>
        <v>300000</v>
      </c>
      <c r="N9" s="33">
        <f>Poland!N$18</f>
        <v>325000</v>
      </c>
      <c r="O9" s="33">
        <f>Poland!O$18</f>
        <v>250000</v>
      </c>
      <c r="P9" s="33">
        <f>Poland!P$18</f>
        <v>275000</v>
      </c>
      <c r="Q9" s="33">
        <f>Poland!Q$18</f>
        <v>184000</v>
      </c>
      <c r="R9" s="33">
        <f>Poland!R$18</f>
        <v>196000</v>
      </c>
      <c r="S9" s="33">
        <f>Poland!S$18</f>
        <v>55000</v>
      </c>
      <c r="T9" s="33">
        <f>Poland!T$18</f>
        <v>120000</v>
      </c>
      <c r="U9" s="33">
        <f>Poland!U$18</f>
        <v>60000</v>
      </c>
      <c r="V9" s="33">
        <f>Poland!V$18</f>
        <v>40000</v>
      </c>
      <c r="W9" s="59">
        <f>Poland!W$18</f>
        <v>70000</v>
      </c>
      <c r="Y9" s="3"/>
    </row>
    <row r="10" spans="1:25" hidden="1" x14ac:dyDescent="0.25">
      <c r="A10" s="35" t="s">
        <v>146</v>
      </c>
      <c r="B10" s="120" t="str">
        <f t="shared" si="0"/>
        <v/>
      </c>
      <c r="C10" s="121">
        <f>Portugal!C$9</f>
        <v>0</v>
      </c>
      <c r="D10" s="1">
        <f>Portugal!D$9</f>
        <v>0</v>
      </c>
      <c r="E10" s="92">
        <f>Portugal!E$9</f>
        <v>0</v>
      </c>
      <c r="F10" s="1">
        <f>Portugal!F$9</f>
        <v>0</v>
      </c>
      <c r="G10" s="1">
        <f>Portugal!G$9</f>
        <v>0</v>
      </c>
      <c r="H10" s="1">
        <f>Portugal!H$9</f>
        <v>0</v>
      </c>
      <c r="I10" s="1">
        <f>Portugal!I$9</f>
        <v>0</v>
      </c>
      <c r="J10" s="1">
        <f>Portugal!J$9</f>
        <v>0</v>
      </c>
      <c r="K10" s="1"/>
      <c r="L10" s="1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59"/>
      <c r="Y10" s="3"/>
    </row>
    <row r="11" spans="1:25" hidden="1" x14ac:dyDescent="0.25">
      <c r="A11" s="35" t="s">
        <v>165</v>
      </c>
      <c r="B11" s="22" t="str">
        <f t="shared" si="0"/>
        <v/>
      </c>
      <c r="C11" s="102"/>
      <c r="D11" s="1"/>
      <c r="E11" s="92"/>
      <c r="F11" s="1"/>
      <c r="G11" s="1"/>
      <c r="H11" s="1"/>
      <c r="I11" s="1"/>
      <c r="J11" s="1"/>
      <c r="K11" s="1"/>
      <c r="L11" s="1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59"/>
      <c r="Y11" s="3"/>
    </row>
    <row r="12" spans="1:25" x14ac:dyDescent="0.25">
      <c r="A12" s="122" t="s">
        <v>36</v>
      </c>
      <c r="B12" s="22">
        <f t="shared" si="0"/>
        <v>-4.486508166402995E-2</v>
      </c>
      <c r="C12" s="102">
        <f>Spain!C$8</f>
        <v>-27744</v>
      </c>
      <c r="D12" s="1">
        <f>Spain!D$8</f>
        <v>-23247</v>
      </c>
      <c r="E12" s="92">
        <f>Spain!E$8</f>
        <v>85731</v>
      </c>
      <c r="F12" s="1">
        <f>Spain!F$8</f>
        <v>89758</v>
      </c>
      <c r="G12" s="1">
        <f>Spain!G$8</f>
        <v>61894.170249055554</v>
      </c>
      <c r="H12" s="1">
        <f>Spain!H$8</f>
        <v>107985.04893039248</v>
      </c>
      <c r="I12" s="1">
        <f>Spain!I$8</f>
        <v>65853.123186247976</v>
      </c>
      <c r="J12" s="1">
        <f>Spain!J$8</f>
        <v>104314.00348659609</v>
      </c>
      <c r="K12" s="1">
        <f>Spain!K$8</f>
        <v>81706.863733162521</v>
      </c>
      <c r="L12" s="1">
        <f>Spain!L$8</f>
        <v>57288</v>
      </c>
      <c r="M12" s="1">
        <f>Spain!M$8</f>
        <v>95292.387997085345</v>
      </c>
      <c r="N12" s="1">
        <f>Spain!N$8</f>
        <v>62236.192839871066</v>
      </c>
      <c r="O12" s="1">
        <f>Spain!O$8</f>
        <v>71719.423168264999</v>
      </c>
      <c r="P12" s="1">
        <f>Spain!P$8</f>
        <v>63132.695538891916</v>
      </c>
      <c r="Q12" s="1">
        <f>Spain!Q$8</f>
        <v>33305.771960482249</v>
      </c>
      <c r="R12" s="1">
        <f>Spain!R$8</f>
        <v>67752.745923924173</v>
      </c>
      <c r="S12" s="1">
        <f>Spain!S$8</f>
        <v>49551.313719182639</v>
      </c>
      <c r="T12" s="1">
        <f>Spain!T$8</f>
        <v>46160</v>
      </c>
      <c r="U12" s="1">
        <f>Spain!U$8</f>
        <v>73721</v>
      </c>
      <c r="V12" s="1">
        <f>Spain!V$8</f>
        <v>45862</v>
      </c>
      <c r="W12" s="24">
        <f>Spain!W$8</f>
        <v>40135</v>
      </c>
      <c r="Y12" s="3"/>
    </row>
    <row r="13" spans="1:25" x14ac:dyDescent="0.25">
      <c r="A13" s="122" t="s">
        <v>58</v>
      </c>
      <c r="B13" s="22">
        <f t="shared" si="0"/>
        <v>0.71923976608187135</v>
      </c>
      <c r="C13" s="102">
        <f>Switzerland!C$19</f>
        <v>-8925</v>
      </c>
      <c r="D13" s="1">
        <f>Switzerland!D$19</f>
        <v>-8492</v>
      </c>
      <c r="E13" s="92">
        <f>Switzerland!E$19</f>
        <v>29399</v>
      </c>
      <c r="F13" s="1">
        <f>Switzerland!F$19</f>
        <v>17100</v>
      </c>
      <c r="G13" s="1">
        <f>Switzerland!G$19</f>
        <v>18529</v>
      </c>
      <c r="H13" s="1">
        <f>Switzerland!H$19</f>
        <v>25475</v>
      </c>
      <c r="I13" s="1">
        <f>Switzerland!I$19</f>
        <v>23175</v>
      </c>
      <c r="J13" s="1">
        <f>Switzerland!J$19</f>
        <v>19424</v>
      </c>
      <c r="K13" s="1">
        <f>Switzerland!K$19</f>
        <v>27954</v>
      </c>
      <c r="L13" s="1">
        <f>Switzerland!L$19</f>
        <v>7472</v>
      </c>
      <c r="M13" s="1">
        <f>Switzerland!M$19</f>
        <v>22706</v>
      </c>
      <c r="N13" s="1">
        <f>Switzerland!N$19</f>
        <v>21177</v>
      </c>
      <c r="O13" s="1">
        <f>Switzerland!O$19</f>
        <v>23181</v>
      </c>
      <c r="P13" s="1">
        <f>Switzerland!P$19</f>
        <v>22746</v>
      </c>
      <c r="Q13" s="1">
        <f>Switzerland!Q$19</f>
        <v>21274</v>
      </c>
      <c r="R13" s="1">
        <f>Switzerland!R$19</f>
        <v>26574</v>
      </c>
      <c r="S13" s="1">
        <f>Switzerland!S$19</f>
        <v>24101</v>
      </c>
      <c r="T13" s="1">
        <f>Switzerland!T$19</f>
        <v>25195</v>
      </c>
      <c r="U13" s="1">
        <f>Switzerland!U$19</f>
        <v>20451</v>
      </c>
      <c r="V13" s="1">
        <f>Switzerland!V$19</f>
        <v>21828</v>
      </c>
      <c r="W13" s="24">
        <f>Switzerland!W$19</f>
        <v>23305</v>
      </c>
      <c r="Y13" s="3"/>
    </row>
    <row r="14" spans="1:25" x14ac:dyDescent="0.25">
      <c r="A14" s="122" t="s">
        <v>1</v>
      </c>
      <c r="B14" s="22">
        <f t="shared" si="0"/>
        <v>-9.0181097906055455E-2</v>
      </c>
      <c r="C14" s="102">
        <f>Netherlands!C$8</f>
        <v>-14686.099999999991</v>
      </c>
      <c r="D14" s="1">
        <f>Netherlands!D$8</f>
        <v>-14665.5</v>
      </c>
      <c r="E14" s="92">
        <f>Netherlands!E$8</f>
        <v>32153</v>
      </c>
      <c r="F14" s="1">
        <f>Netherlands!F$8</f>
        <v>35340</v>
      </c>
      <c r="G14" s="1">
        <f>Netherlands!G$8</f>
        <v>54395</v>
      </c>
      <c r="H14" s="1">
        <f>Netherlands!H$8</f>
        <v>58863</v>
      </c>
      <c r="I14" s="1">
        <f>Netherlands!I$8</f>
        <v>32189</v>
      </c>
      <c r="J14" s="1">
        <f>Netherlands!J$8</f>
        <v>56355</v>
      </c>
      <c r="K14" s="1">
        <f>Netherlands!K$8</f>
        <v>59139.765400000048</v>
      </c>
      <c r="L14" s="1">
        <f>Netherlands!L$8</f>
        <v>37318.957999999999</v>
      </c>
      <c r="M14" s="1">
        <f>Netherlands!M$8</f>
        <v>83512</v>
      </c>
      <c r="N14" s="1">
        <f>Netherlands!N$8</f>
        <v>76773</v>
      </c>
      <c r="O14" s="1">
        <f>Netherlands!O$8</f>
        <v>86659</v>
      </c>
      <c r="P14" s="1">
        <f>Netherlands!P$8</f>
        <v>77000</v>
      </c>
      <c r="Q14" s="1">
        <f>Netherlands!Q$8</f>
        <v>55000</v>
      </c>
      <c r="R14" s="1">
        <f>Netherlands!R$8</f>
        <v>95000</v>
      </c>
      <c r="S14" s="1">
        <f>Netherlands!S$8</f>
        <v>58000</v>
      </c>
      <c r="T14" s="1">
        <f>Netherlands!T$8</f>
        <v>94000</v>
      </c>
      <c r="U14" s="1">
        <f>Netherlands!U$8</f>
        <v>89000</v>
      </c>
      <c r="V14" s="1">
        <f>Netherlands!V$8</f>
        <v>72000</v>
      </c>
      <c r="W14" s="24">
        <f>Netherlands!W$8</f>
        <v>78000</v>
      </c>
    </row>
    <row r="15" spans="1:25" ht="13.8" thickBot="1" x14ac:dyDescent="0.3">
      <c r="A15" s="36" t="s">
        <v>162</v>
      </c>
      <c r="B15" s="22">
        <f t="shared" si="0"/>
        <v>1.8092239303574735</v>
      </c>
      <c r="C15" s="102">
        <f>UK!C$12</f>
        <v>-14217</v>
      </c>
      <c r="D15" s="1">
        <f>UK!D$12</f>
        <v>-11680</v>
      </c>
      <c r="E15" s="92">
        <f>UK!E$12</f>
        <v>30334</v>
      </c>
      <c r="F15" s="9">
        <f>UK!F$12</f>
        <v>10798</v>
      </c>
      <c r="G15" s="9">
        <f>UK!G$12</f>
        <v>35433</v>
      </c>
      <c r="H15" s="9">
        <f>UK!H$12</f>
        <v>20738</v>
      </c>
      <c r="I15" s="9">
        <f>UK!I$12</f>
        <v>20210</v>
      </c>
      <c r="J15" s="9">
        <f>UK!J$12</f>
        <v>19589</v>
      </c>
      <c r="K15" s="9">
        <f>UK!K$12</f>
        <v>21353</v>
      </c>
      <c r="L15" s="9">
        <f>UK!L$12</f>
        <v>13773</v>
      </c>
      <c r="M15" s="9">
        <f>UK!M$12</f>
        <v>0</v>
      </c>
      <c r="N15" s="9">
        <f>UK!N$12</f>
        <v>13850</v>
      </c>
      <c r="O15" s="9">
        <f>UK!O$12</f>
        <v>20300</v>
      </c>
      <c r="P15" s="9">
        <f>UK!P$12</f>
        <v>23000</v>
      </c>
      <c r="Q15" s="9">
        <f>UK!Q$12</f>
        <v>7000</v>
      </c>
      <c r="R15" s="9">
        <f>UK!R$12</f>
        <v>17300</v>
      </c>
      <c r="S15" s="9">
        <f>UK!S$12</f>
        <v>16000</v>
      </c>
      <c r="T15" s="9">
        <f>UK!T$12</f>
        <v>18550</v>
      </c>
      <c r="U15" s="9">
        <f>UK!U$12</f>
        <v>20000</v>
      </c>
      <c r="V15" s="26">
        <f>UK!V$12</f>
        <v>11400</v>
      </c>
      <c r="W15">
        <f>UK!W$12</f>
        <v>20000</v>
      </c>
    </row>
    <row r="16" spans="1:25" ht="13.8" thickBot="1" x14ac:dyDescent="0.3">
      <c r="A16" s="37" t="s">
        <v>22</v>
      </c>
      <c r="B16" s="108">
        <f t="shared" si="0"/>
        <v>-6.398625122984658E-2</v>
      </c>
      <c r="C16" s="109">
        <f t="shared" ref="C16:I16" si="1">SUM(C2:C15)</f>
        <v>-565305.68713230407</v>
      </c>
      <c r="D16" s="41">
        <f t="shared" si="1"/>
        <v>-618436.79060852889</v>
      </c>
      <c r="E16" s="40">
        <f t="shared" si="1"/>
        <v>1196023.85045574</v>
      </c>
      <c r="F16" s="29">
        <f t="shared" si="1"/>
        <v>1277784.4898402602</v>
      </c>
      <c r="G16" s="29">
        <f t="shared" si="1"/>
        <v>1263942.8593189148</v>
      </c>
      <c r="H16" s="29">
        <f t="shared" si="1"/>
        <v>1534261.1862372607</v>
      </c>
      <c r="I16" s="29">
        <f t="shared" si="1"/>
        <v>1298043.4570532222</v>
      </c>
      <c r="J16" s="29">
        <f t="shared" ref="J16:O16" si="2">SUM(J2:J15)</f>
        <v>1109555.8460265961</v>
      </c>
      <c r="K16" s="29">
        <f t="shared" si="2"/>
        <v>1562416.2591331627</v>
      </c>
      <c r="L16" s="29">
        <f t="shared" si="2"/>
        <v>708343.59799999988</v>
      </c>
      <c r="M16" s="29">
        <f t="shared" si="2"/>
        <v>1344911.9229970854</v>
      </c>
      <c r="N16" s="29">
        <f t="shared" si="2"/>
        <v>1398262.0178398711</v>
      </c>
      <c r="O16" s="29">
        <f t="shared" si="2"/>
        <v>1315233.5131682649</v>
      </c>
      <c r="P16" s="29">
        <f t="shared" ref="P16:W16" si="3">SUM(P2:P15)</f>
        <v>1299429.735538892</v>
      </c>
      <c r="Q16" s="29">
        <f t="shared" si="3"/>
        <v>838215.77196048223</v>
      </c>
      <c r="R16" s="29">
        <f t="shared" si="3"/>
        <v>1181952.7459239243</v>
      </c>
      <c r="S16" s="29">
        <f t="shared" si="3"/>
        <v>920798.31371918262</v>
      </c>
      <c r="T16" s="29">
        <f t="shared" si="3"/>
        <v>1136520.32</v>
      </c>
      <c r="U16" s="29">
        <f t="shared" si="3"/>
        <v>942572.89999999991</v>
      </c>
      <c r="V16" s="29">
        <f t="shared" si="3"/>
        <v>681551.60000000009</v>
      </c>
      <c r="W16" s="79">
        <f t="shared" si="3"/>
        <v>771500.5</v>
      </c>
    </row>
    <row r="17" spans="1:25" x14ac:dyDescent="0.25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V17" s="1"/>
      <c r="W17" s="1"/>
    </row>
    <row r="18" spans="1:25" ht="13.8" thickBot="1" x14ac:dyDescent="0.3">
      <c r="B18" s="31"/>
      <c r="C18" s="1"/>
      <c r="D18" s="1"/>
      <c r="E18" s="123"/>
      <c r="F18" s="31"/>
      <c r="G18" s="31"/>
      <c r="H18" s="31"/>
      <c r="I18" s="31"/>
      <c r="J18" s="31"/>
      <c r="K18" s="31"/>
      <c r="L18" s="31"/>
      <c r="M18" s="31"/>
      <c r="V18" s="1"/>
      <c r="W18" s="1"/>
    </row>
    <row r="19" spans="1:25" ht="13.8" thickBot="1" x14ac:dyDescent="0.3">
      <c r="A19" s="34" t="s">
        <v>24</v>
      </c>
      <c r="B19" s="119" t="s">
        <v>170</v>
      </c>
      <c r="C19" s="44" t="s">
        <v>171</v>
      </c>
      <c r="D19" s="67" t="s">
        <v>168</v>
      </c>
      <c r="E19" s="91">
        <v>45778</v>
      </c>
      <c r="F19" s="97">
        <v>45413</v>
      </c>
      <c r="G19" s="97">
        <v>45047</v>
      </c>
      <c r="H19" s="97">
        <v>44682</v>
      </c>
      <c r="I19" s="97">
        <v>44317</v>
      </c>
      <c r="J19" s="97">
        <v>43952</v>
      </c>
      <c r="K19" s="97">
        <v>43586</v>
      </c>
      <c r="L19" s="97">
        <v>43230</v>
      </c>
      <c r="M19" s="20">
        <v>42856</v>
      </c>
      <c r="N19" s="20">
        <v>42491</v>
      </c>
      <c r="O19" s="20">
        <v>42125</v>
      </c>
      <c r="P19" s="20">
        <v>41760</v>
      </c>
      <c r="Q19" s="20">
        <v>41395</v>
      </c>
      <c r="R19" s="20">
        <v>41030</v>
      </c>
      <c r="S19" s="20">
        <v>40664</v>
      </c>
      <c r="T19" s="20">
        <v>40299</v>
      </c>
      <c r="U19" s="20">
        <v>39934</v>
      </c>
      <c r="V19" s="20">
        <v>39569</v>
      </c>
      <c r="W19" s="21">
        <v>39203</v>
      </c>
    </row>
    <row r="20" spans="1:25" x14ac:dyDescent="0.25">
      <c r="A20" s="122" t="s">
        <v>0</v>
      </c>
      <c r="B20" s="22">
        <f t="shared" ref="B20:B33" si="4">IFERROR(((E20-F20)/F20),"")</f>
        <v>-0.25329863918118262</v>
      </c>
      <c r="C20" s="102">
        <f>Belgium!C$20</f>
        <v>-22671.008483028712</v>
      </c>
      <c r="D20" s="1">
        <f>Belgium!D$20</f>
        <v>-25898.682391921</v>
      </c>
      <c r="E20" s="92">
        <f>Belgium!E$20</f>
        <v>8008.1467604913223</v>
      </c>
      <c r="F20" s="1">
        <f>Belgium!F$20</f>
        <v>10724.698227025799</v>
      </c>
      <c r="G20" s="1">
        <f>Belgium!G$20</f>
        <v>13214</v>
      </c>
      <c r="H20" s="1">
        <f>Belgium!H$20</f>
        <v>33952</v>
      </c>
      <c r="I20" s="1">
        <f>Belgium!I$20</f>
        <v>39583</v>
      </c>
      <c r="J20" s="1">
        <f>Belgium!J$20</f>
        <v>14292</v>
      </c>
      <c r="K20" s="1">
        <f>Belgium!K$20</f>
        <v>39132</v>
      </c>
      <c r="L20" s="1">
        <f>Belgium!L$20</f>
        <v>12520</v>
      </c>
      <c r="M20" s="1">
        <f>Belgium!M$20</f>
        <v>24929</v>
      </c>
      <c r="N20" s="1">
        <f>Belgium!N$20</f>
        <v>48359</v>
      </c>
      <c r="O20" s="1">
        <f>Belgium!O$20</f>
        <v>25159</v>
      </c>
      <c r="P20" s="1">
        <f>Belgium!P$20</f>
        <v>11732</v>
      </c>
      <c r="Q20" s="1">
        <f>Belgium!Q$20</f>
        <v>13000</v>
      </c>
      <c r="R20" s="1">
        <f>Belgium!R$20</f>
        <v>15000</v>
      </c>
      <c r="S20" s="1">
        <f>Belgium!S$20</f>
        <v>30900</v>
      </c>
      <c r="T20" s="1">
        <f>Belgium!T$20</f>
        <v>22100</v>
      </c>
      <c r="U20" s="1">
        <f>Belgium!U$20</f>
        <v>0</v>
      </c>
      <c r="V20" s="1">
        <f>Belgium!V$20</f>
        <v>51300</v>
      </c>
      <c r="W20" s="24">
        <f>Belgium!W$20</f>
        <v>47000</v>
      </c>
    </row>
    <row r="21" spans="1:25" x14ac:dyDescent="0.25">
      <c r="A21" s="122" t="s">
        <v>30</v>
      </c>
      <c r="B21" s="22">
        <f t="shared" si="4"/>
        <v>-0.59444444444444444</v>
      </c>
      <c r="C21" s="102">
        <f>'Czech Republic'!C$21</f>
        <v>-182</v>
      </c>
      <c r="D21" s="1">
        <f>'Czech Republic'!D$21</f>
        <v>-37</v>
      </c>
      <c r="E21" s="92">
        <f>'Czech Republic'!E$21</f>
        <v>219</v>
      </c>
      <c r="F21" s="1">
        <f>'Czech Republic'!F$21</f>
        <v>540</v>
      </c>
      <c r="G21" s="1">
        <f>'Czech Republic'!G$21</f>
        <v>4</v>
      </c>
      <c r="H21" s="1">
        <f>'Czech Republic'!H$21</f>
        <v>13</v>
      </c>
      <c r="I21" s="1">
        <f>'Czech Republic'!I$21</f>
        <v>160</v>
      </c>
      <c r="J21" s="1">
        <f>'Czech Republic'!J$21</f>
        <v>200</v>
      </c>
      <c r="K21" s="1">
        <f>'Czech Republic'!K$21</f>
        <v>756</v>
      </c>
      <c r="L21" s="1">
        <f>'Czech Republic'!L$21</f>
        <v>600</v>
      </c>
      <c r="M21" s="1">
        <f>'Czech Republic'!M$21</f>
        <v>370</v>
      </c>
      <c r="N21" s="1">
        <f>'Czech Republic'!N$21</f>
        <v>1001</v>
      </c>
      <c r="O21" s="1">
        <f>'Czech Republic'!O$21</f>
        <v>0</v>
      </c>
      <c r="P21" s="1">
        <f>'Czech Republic'!P$21</f>
        <v>567</v>
      </c>
      <c r="Q21" s="1">
        <f>'Czech Republic'!Q$21</f>
        <v>0</v>
      </c>
      <c r="R21" s="1">
        <f>'Czech Republic'!R$21</f>
        <v>0</v>
      </c>
      <c r="S21" s="1">
        <f>'Czech Republic'!S$21</f>
        <v>0</v>
      </c>
      <c r="T21" s="1">
        <f>'Czech Republic'!T$21</f>
        <v>0</v>
      </c>
      <c r="U21" s="1">
        <f>'Czech Republic'!U$21</f>
        <v>0</v>
      </c>
      <c r="V21" s="1">
        <f>'Czech Republic'!V$21</f>
        <v>0</v>
      </c>
      <c r="W21" s="24">
        <f>'Czech Republic'!W$21</f>
        <v>0</v>
      </c>
    </row>
    <row r="22" spans="1:25" x14ac:dyDescent="0.25">
      <c r="A22" s="122" t="s">
        <v>39</v>
      </c>
      <c r="B22" s="22" t="str">
        <f t="shared" si="4"/>
        <v/>
      </c>
      <c r="C22" s="102">
        <f>Denmark!C$28</f>
        <v>0</v>
      </c>
      <c r="D22" s="1">
        <f>Denmark!D$28</f>
        <v>0</v>
      </c>
      <c r="E22" s="92">
        <f>Denmark!E$28</f>
        <v>0</v>
      </c>
      <c r="F22" s="1">
        <f>Denmark!F$28</f>
        <v>0</v>
      </c>
      <c r="G22" s="1">
        <f>Denmark!G$28</f>
        <v>0</v>
      </c>
      <c r="H22" s="1">
        <f>Denmark!H$28</f>
        <v>0</v>
      </c>
      <c r="I22" s="1">
        <f>Denmark!I$28</f>
        <v>0</v>
      </c>
      <c r="J22" s="1">
        <f>Denmark!J$28</f>
        <v>0</v>
      </c>
      <c r="K22" s="1">
        <f>Denmark!K$27</f>
        <v>0</v>
      </c>
      <c r="L22" s="1">
        <f>Denmark!L$27</f>
        <v>0</v>
      </c>
      <c r="M22" s="1">
        <f>Denmark!M$27</f>
        <v>0</v>
      </c>
      <c r="N22" s="1">
        <f>Denmark!N$27</f>
        <v>17</v>
      </c>
      <c r="O22" s="1">
        <f>Denmark!O$27</f>
        <v>0</v>
      </c>
      <c r="P22" s="1">
        <f>Denmark!P$27</f>
        <v>0</v>
      </c>
      <c r="Q22" s="1">
        <f>Denmark!Q$27</f>
        <v>0</v>
      </c>
      <c r="R22" s="1">
        <f>Denmark!R$27</f>
        <v>0</v>
      </c>
      <c r="S22" s="1">
        <f>Denmark!S$27</f>
        <v>0</v>
      </c>
      <c r="T22" s="1">
        <f>Denmark!T$27</f>
        <v>0</v>
      </c>
      <c r="U22" s="1">
        <f>Denmark!U$27</f>
        <v>0</v>
      </c>
      <c r="V22" s="1">
        <f>Denmark!V$27</f>
        <v>0</v>
      </c>
      <c r="W22" s="24">
        <f>Denmark!W$27</f>
        <v>0</v>
      </c>
      <c r="Y22" s="3"/>
    </row>
    <row r="23" spans="1:25" x14ac:dyDescent="0.25">
      <c r="A23" s="35" t="s">
        <v>131</v>
      </c>
      <c r="B23" s="120">
        <f t="shared" si="4"/>
        <v>1.2162460000000002</v>
      </c>
      <c r="C23" s="121">
        <f>France!C$38</f>
        <v>-1626.1846999999998</v>
      </c>
      <c r="D23" s="1">
        <f>France!D$38</f>
        <v>-1062</v>
      </c>
      <c r="E23" s="92">
        <f>France!E$38</f>
        <v>1218.9353000000001</v>
      </c>
      <c r="F23" s="1">
        <f>France!F$38</f>
        <v>550</v>
      </c>
      <c r="G23" s="1">
        <f>France!G$38</f>
        <v>277</v>
      </c>
      <c r="H23" s="1">
        <f>France!H$38</f>
        <v>312</v>
      </c>
      <c r="I23" s="1">
        <f>France!I$38</f>
        <v>699</v>
      </c>
      <c r="J23" s="1">
        <f>France!J$38</f>
        <v>545</v>
      </c>
      <c r="K23" s="1">
        <f>France!K$38</f>
        <v>749</v>
      </c>
      <c r="L23" s="1">
        <f>France!L$38</f>
        <v>775</v>
      </c>
      <c r="M23" s="1">
        <f>France!M$38</f>
        <v>464</v>
      </c>
      <c r="N23" s="1">
        <f>France!N$38</f>
        <v>275</v>
      </c>
      <c r="O23" s="1">
        <f>France!O$38</f>
        <v>738</v>
      </c>
      <c r="P23" s="1">
        <f>France!P$38</f>
        <v>1814</v>
      </c>
      <c r="Q23" s="1">
        <f>France!Q$38</f>
        <v>11</v>
      </c>
      <c r="R23" s="1">
        <f>France!R$38</f>
        <v>2094</v>
      </c>
      <c r="S23" s="1">
        <f>France!S$38</f>
        <v>0</v>
      </c>
      <c r="T23" s="1">
        <f>France!T$38</f>
        <v>0</v>
      </c>
      <c r="U23" s="1">
        <f>France!U$38</f>
        <v>0</v>
      </c>
      <c r="V23" s="1">
        <f>France!V$38</f>
        <v>0</v>
      </c>
      <c r="W23" s="24">
        <f>France!W$38</f>
        <v>0</v>
      </c>
    </row>
    <row r="24" spans="1:25" x14ac:dyDescent="0.25">
      <c r="A24" s="122" t="s">
        <v>27</v>
      </c>
      <c r="B24" s="22" t="str">
        <f t="shared" si="4"/>
        <v/>
      </c>
      <c r="C24" s="102">
        <f>Germany!C$26</f>
        <v>-748</v>
      </c>
      <c r="D24" s="1">
        <f>Germany!D$26</f>
        <v>-1319</v>
      </c>
      <c r="E24" s="92">
        <f>Germany!E$26</f>
        <v>304</v>
      </c>
      <c r="F24" s="1">
        <f>Germany!F$26</f>
        <v>0</v>
      </c>
      <c r="G24" s="1">
        <f>Germany!G$26</f>
        <v>93</v>
      </c>
      <c r="H24" s="1">
        <f>Germany!H$26</f>
        <v>367</v>
      </c>
      <c r="I24" s="1">
        <f>Germany!I$26</f>
        <v>505</v>
      </c>
      <c r="J24" s="1">
        <f>Germany!J$26</f>
        <v>225</v>
      </c>
      <c r="K24" s="1">
        <f>Germany!K$26</f>
        <v>404</v>
      </c>
      <c r="L24" s="1">
        <f>Germany!L$26</f>
        <v>0</v>
      </c>
      <c r="M24" s="1">
        <f>Germany!M$26</f>
        <v>25</v>
      </c>
      <c r="N24" s="1">
        <f>Germany!N$26</f>
        <v>20</v>
      </c>
      <c r="O24" s="1">
        <f>Germany!O$26</f>
        <v>427</v>
      </c>
      <c r="P24" s="1">
        <f>Germany!P$26</f>
        <v>234</v>
      </c>
      <c r="Q24" s="1">
        <f>Germany!Q$26</f>
        <v>23</v>
      </c>
      <c r="R24" s="1">
        <f>Germany!R$26</f>
        <v>189</v>
      </c>
      <c r="S24" s="1">
        <f>Germany!S$26</f>
        <v>1</v>
      </c>
      <c r="T24" s="1">
        <f>Germany!T$26</f>
        <v>113</v>
      </c>
      <c r="U24" s="1">
        <f>Germany!U$26</f>
        <v>0</v>
      </c>
      <c r="V24" s="1">
        <f>Germany!V$26</f>
        <v>151</v>
      </c>
      <c r="W24" s="24">
        <f>Germany!W$26</f>
        <v>24</v>
      </c>
      <c r="Y24" s="3"/>
    </row>
    <row r="25" spans="1:25" x14ac:dyDescent="0.25">
      <c r="A25" s="35" t="s">
        <v>16</v>
      </c>
      <c r="B25" s="22" t="str">
        <f t="shared" si="4"/>
        <v/>
      </c>
      <c r="C25" s="102">
        <f>Italy!C$29</f>
        <v>-14553.330552120879</v>
      </c>
      <c r="D25" s="1">
        <f>Italy!D$29</f>
        <v>0</v>
      </c>
      <c r="E25" s="92">
        <f>Italy!E$29</f>
        <v>0</v>
      </c>
      <c r="F25" s="1">
        <f>Italy!F$29</f>
        <v>0</v>
      </c>
      <c r="G25" s="1">
        <f>Italy!G$29</f>
        <v>0</v>
      </c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6"/>
      <c r="Y25" s="3"/>
    </row>
    <row r="26" spans="1:25" x14ac:dyDescent="0.25">
      <c r="A26" s="35" t="s">
        <v>31</v>
      </c>
      <c r="B26" s="22">
        <f t="shared" si="4"/>
        <v>-1</v>
      </c>
      <c r="C26" s="102">
        <f>Poland!C$25</f>
        <v>-3000</v>
      </c>
      <c r="D26" s="1">
        <f>Poland!D$25</f>
        <v>-3600</v>
      </c>
      <c r="E26" s="92">
        <f>Poland!E$25</f>
        <v>0</v>
      </c>
      <c r="F26" s="1">
        <f>Poland!F$25</f>
        <v>400</v>
      </c>
      <c r="G26" s="1">
        <f>Poland!G$25</f>
        <v>200</v>
      </c>
      <c r="H26" s="1">
        <f>Poland!H$25</f>
        <v>0</v>
      </c>
      <c r="I26" s="1">
        <f>Poland!I$25</f>
        <v>0</v>
      </c>
      <c r="J26" s="1">
        <f>Poland!J$25</f>
        <v>0</v>
      </c>
      <c r="K26" s="1">
        <f>Poland!K$25</f>
        <v>0</v>
      </c>
      <c r="L26" s="1">
        <f>Poland!L$25</f>
        <v>0</v>
      </c>
      <c r="M26" s="33">
        <f>Poland!M$25</f>
        <v>0</v>
      </c>
      <c r="N26" s="33">
        <f>Poland!N$25</f>
        <v>0</v>
      </c>
      <c r="O26" s="33">
        <f>Poland!O$25</f>
        <v>0</v>
      </c>
      <c r="P26" s="33">
        <f>Poland!P$25</f>
        <v>1000</v>
      </c>
      <c r="Q26" s="33">
        <f>Poland!Q$25</f>
        <v>0</v>
      </c>
      <c r="R26" s="33">
        <f>Poland!R$25</f>
        <v>0</v>
      </c>
      <c r="S26" s="33">
        <f>Poland!S$25</f>
        <v>0</v>
      </c>
      <c r="T26" s="33">
        <f>Poland!T$25</f>
        <v>1000</v>
      </c>
      <c r="U26" s="33">
        <f>Poland!U$25</f>
        <v>0</v>
      </c>
      <c r="V26" s="33">
        <f>Poland!V$25</f>
        <v>0</v>
      </c>
      <c r="W26" s="59">
        <f>Poland!W$25</f>
        <v>500</v>
      </c>
      <c r="Y26" s="3"/>
    </row>
    <row r="27" spans="1:25" ht="14.4" x14ac:dyDescent="0.3">
      <c r="A27" s="35" t="s">
        <v>146</v>
      </c>
      <c r="B27" s="124">
        <f t="shared" si="4"/>
        <v>0.58062074186222556</v>
      </c>
      <c r="C27" s="106">
        <f>Portugal!C$14</f>
        <v>-25398</v>
      </c>
      <c r="D27" s="74">
        <f>Portugal!D$14</f>
        <v>-20338</v>
      </c>
      <c r="E27" s="112">
        <f>Portugal!E$14</f>
        <v>10440</v>
      </c>
      <c r="F27" s="1">
        <f>Portugal!F$14</f>
        <v>6605</v>
      </c>
      <c r="G27" s="1">
        <f>Portugal!G$14</f>
        <v>4063</v>
      </c>
      <c r="H27" s="1">
        <f>Portugal!H$14</f>
        <v>34896</v>
      </c>
      <c r="I27" s="1">
        <f>Portugal!I$14</f>
        <v>4217.5</v>
      </c>
      <c r="J27" s="1">
        <f>Portugal!J$14</f>
        <v>12058</v>
      </c>
      <c r="K27" s="1">
        <f>Portugal!$K14</f>
        <v>12737</v>
      </c>
      <c r="L27" s="1">
        <f>Portugal!$L14</f>
        <v>5745</v>
      </c>
      <c r="M27" s="33">
        <f>Portugal!$M14</f>
        <v>4397</v>
      </c>
      <c r="N27" s="33">
        <f>Portugal!$N14</f>
        <v>2891</v>
      </c>
      <c r="O27" s="33">
        <f>Portugal!$O14</f>
        <v>6678.5714285714284</v>
      </c>
      <c r="P27" s="33">
        <f>Portugal!$P14</f>
        <v>26042.682926829268</v>
      </c>
      <c r="Q27" s="33">
        <f>Portugal!Q14</f>
        <v>0</v>
      </c>
      <c r="R27" s="33">
        <f>Portugal!R14</f>
        <v>0</v>
      </c>
      <c r="S27" s="84"/>
      <c r="T27" s="84"/>
      <c r="U27" s="84"/>
      <c r="V27" s="84"/>
      <c r="W27" s="64"/>
      <c r="Y27" s="3"/>
    </row>
    <row r="28" spans="1:25" ht="14.4" hidden="1" x14ac:dyDescent="0.3">
      <c r="A28" s="35" t="s">
        <v>165</v>
      </c>
      <c r="B28" s="22" t="str">
        <f t="shared" si="4"/>
        <v/>
      </c>
      <c r="C28" s="102"/>
      <c r="D28" s="1"/>
      <c r="E28" s="92"/>
      <c r="F28" s="1"/>
      <c r="G28" s="1"/>
      <c r="H28" s="1"/>
      <c r="I28" s="1"/>
      <c r="J28" s="1"/>
      <c r="K28" s="1"/>
      <c r="L28" s="1"/>
      <c r="M28" s="33"/>
      <c r="N28" s="33"/>
      <c r="O28" s="33"/>
      <c r="P28" s="33"/>
      <c r="Q28" s="33"/>
      <c r="R28" s="33"/>
      <c r="S28" s="84"/>
      <c r="T28" s="84"/>
      <c r="U28" s="84"/>
      <c r="V28" s="84"/>
      <c r="W28" s="64"/>
      <c r="Y28" s="3"/>
    </row>
    <row r="29" spans="1:25" x14ac:dyDescent="0.25">
      <c r="A29" s="122" t="s">
        <v>36</v>
      </c>
      <c r="B29" s="22">
        <f t="shared" si="4"/>
        <v>-0.59347357065803663</v>
      </c>
      <c r="C29" s="102">
        <f>Spain!C$17</f>
        <v>-3955</v>
      </c>
      <c r="D29" s="1">
        <f>Spain!D$17</f>
        <v>-7041</v>
      </c>
      <c r="E29" s="92">
        <f>Spain!E$17</f>
        <v>7537</v>
      </c>
      <c r="F29" s="1">
        <f>Spain!F$17</f>
        <v>18540</v>
      </c>
      <c r="G29" s="1">
        <f>Spain!G$17</f>
        <v>10067.630130934087</v>
      </c>
      <c r="H29" s="1">
        <f>Spain!H$17</f>
        <v>20374.260056042978</v>
      </c>
      <c r="I29" s="1">
        <f>Spain!I$17</f>
        <v>16667.260266945566</v>
      </c>
      <c r="J29" s="1">
        <f>Spain!J$17</f>
        <v>16022.660994309535</v>
      </c>
      <c r="K29" s="1">
        <f>Spain!K$17</f>
        <v>17222.931261122951</v>
      </c>
      <c r="L29" s="1">
        <f>Spain!L$17</f>
        <v>19559</v>
      </c>
      <c r="M29" s="1">
        <f>Spain!M$17</f>
        <v>11861</v>
      </c>
      <c r="N29" s="1">
        <f>Spain!N$17</f>
        <v>19055.892827601059</v>
      </c>
      <c r="O29" s="1">
        <f>Spain!O$17</f>
        <v>18458.908068221179</v>
      </c>
      <c r="P29" s="1">
        <f>Spain!P$17</f>
        <v>22128.272796910118</v>
      </c>
      <c r="Q29" s="1">
        <f>Spain!Q$17</f>
        <v>4940.6443136765101</v>
      </c>
      <c r="R29" s="1">
        <f>Spain!R$17</f>
        <v>39760.614122054656</v>
      </c>
      <c r="S29" s="1">
        <f>Spain!S$17</f>
        <v>28512.259798806899</v>
      </c>
      <c r="T29" s="1">
        <f>Spain!T$17</f>
        <v>21491</v>
      </c>
      <c r="U29" s="1">
        <f>Spain!U$17</f>
        <v>21134</v>
      </c>
      <c r="V29" s="1">
        <f>Spain!V$17</f>
        <v>17180</v>
      </c>
      <c r="W29" s="24">
        <f>Spain!W$17</f>
        <v>25909</v>
      </c>
      <c r="Y29" s="3"/>
    </row>
    <row r="30" spans="1:25" x14ac:dyDescent="0.25">
      <c r="A30" s="122" t="s">
        <v>58</v>
      </c>
      <c r="B30" s="22">
        <f t="shared" si="4"/>
        <v>1.7204724409448819</v>
      </c>
      <c r="C30" s="102">
        <f>Switzerland!C$28</f>
        <v>-1408</v>
      </c>
      <c r="D30" s="1">
        <f>Switzerland!D$28</f>
        <v>0</v>
      </c>
      <c r="E30" s="92">
        <f>Switzerland!E$28</f>
        <v>691</v>
      </c>
      <c r="F30" s="1">
        <f>Switzerland!F$28</f>
        <v>254</v>
      </c>
      <c r="G30" s="1">
        <f>Switzerland!G$28</f>
        <v>1</v>
      </c>
      <c r="H30" s="1">
        <f>Switzerland!H$28</f>
        <v>37</v>
      </c>
      <c r="I30" s="1">
        <f>Switzerland!I$28</f>
        <v>838</v>
      </c>
      <c r="J30" s="1">
        <f>Switzerland!J$28</f>
        <v>856</v>
      </c>
      <c r="K30" s="1">
        <f>Switzerland!K$28</f>
        <v>676</v>
      </c>
      <c r="L30" s="1">
        <f>Switzerland!L$28</f>
        <v>0</v>
      </c>
      <c r="M30" s="1">
        <f>Switzerland!M$28</f>
        <v>3</v>
      </c>
      <c r="N30" s="1">
        <f>Switzerland!N$28</f>
        <v>33</v>
      </c>
      <c r="O30" s="1">
        <f>Switzerland!O$28</f>
        <v>532</v>
      </c>
      <c r="P30" s="1">
        <f>Switzerland!P$28</f>
        <v>96</v>
      </c>
      <c r="Q30" s="1">
        <f>Switzerland!Q$28</f>
        <v>0</v>
      </c>
      <c r="R30" s="1">
        <f>Switzerland!R$28</f>
        <v>1132</v>
      </c>
      <c r="S30" s="1">
        <f>Switzerland!S$28</f>
        <v>0</v>
      </c>
      <c r="T30" s="1">
        <f>Switzerland!T$28</f>
        <v>168</v>
      </c>
      <c r="U30" s="1">
        <f>Switzerland!U$28</f>
        <v>0</v>
      </c>
      <c r="V30" s="1">
        <f>Switzerland!V$28</f>
        <v>293</v>
      </c>
      <c r="W30" s="24">
        <f>Switzerland!W$28</f>
        <v>1</v>
      </c>
      <c r="Y30" s="3"/>
    </row>
    <row r="31" spans="1:25" x14ac:dyDescent="0.25">
      <c r="A31" s="122" t="s">
        <v>1</v>
      </c>
      <c r="B31" s="22">
        <f t="shared" si="4"/>
        <v>-0.17599597190155719</v>
      </c>
      <c r="C31" s="102">
        <f>Netherlands!C$15</f>
        <v>-27336.5</v>
      </c>
      <c r="D31" s="1">
        <f>Netherlands!D$15</f>
        <v>-28335.300000000003</v>
      </c>
      <c r="E31" s="92">
        <f>Netherlands!E$15</f>
        <v>67097</v>
      </c>
      <c r="F31" s="1">
        <f>Netherlands!F$15</f>
        <v>81428</v>
      </c>
      <c r="G31" s="1">
        <f>Netherlands!G$15</f>
        <v>71253</v>
      </c>
      <c r="H31" s="1">
        <f>Netherlands!H$15</f>
        <v>77423</v>
      </c>
      <c r="I31" s="1">
        <f>Netherlands!I$15</f>
        <v>70529</v>
      </c>
      <c r="J31" s="1">
        <f>Netherlands!J$15</f>
        <v>59636</v>
      </c>
      <c r="K31" s="1">
        <f>Netherlands!K$15</f>
        <v>69315.122719999999</v>
      </c>
      <c r="L31" s="1">
        <f>Netherlands!L$15</f>
        <v>61290.519</v>
      </c>
      <c r="M31" s="1">
        <f>Netherlands!M$15</f>
        <v>69781</v>
      </c>
      <c r="N31" s="1">
        <f>Netherlands!N$15</f>
        <v>62952</v>
      </c>
      <c r="O31" s="1">
        <f>Netherlands!O$15</f>
        <v>53848</v>
      </c>
      <c r="P31" s="1">
        <f>Netherlands!P$15</f>
        <v>45000</v>
      </c>
      <c r="Q31" s="1">
        <f>Netherlands!Q$15</f>
        <v>25000</v>
      </c>
      <c r="R31" s="1">
        <f>Netherlands!R$15</f>
        <v>46000</v>
      </c>
      <c r="S31" s="1">
        <f>Netherlands!S$15</f>
        <v>39000</v>
      </c>
      <c r="T31" s="1">
        <f>Netherlands!T$15</f>
        <v>43000</v>
      </c>
      <c r="U31" s="1">
        <f>Netherlands!U$15</f>
        <v>12000</v>
      </c>
      <c r="V31" s="1">
        <f>Netherlands!V$15</f>
        <v>23000</v>
      </c>
      <c r="W31" s="24">
        <f>Netherlands!W$15</f>
        <v>34000</v>
      </c>
    </row>
    <row r="32" spans="1:25" ht="13.8" thickBot="1" x14ac:dyDescent="0.3">
      <c r="A32" s="36" t="s">
        <v>169</v>
      </c>
      <c r="B32" s="23">
        <f t="shared" si="4"/>
        <v>2.1845102505694762</v>
      </c>
      <c r="C32" s="103">
        <f>UK!C$19</f>
        <v>-999</v>
      </c>
      <c r="D32" s="9">
        <f>UK!D$19</f>
        <v>-518</v>
      </c>
      <c r="E32" s="93">
        <f>UK!E$19</f>
        <v>1398</v>
      </c>
      <c r="F32" s="9">
        <f>UK!F$19</f>
        <v>439</v>
      </c>
      <c r="G32" s="9">
        <f>UK!G$19</f>
        <v>1351</v>
      </c>
      <c r="H32" s="9">
        <f>UK!H$19</f>
        <v>541</v>
      </c>
      <c r="I32" s="9">
        <f>UK!I$19</f>
        <v>533</v>
      </c>
      <c r="J32" s="9">
        <f>UK!J$19</f>
        <v>0</v>
      </c>
      <c r="K32" s="9">
        <f>UK!K$19</f>
        <v>46</v>
      </c>
      <c r="L32" s="9">
        <f>UK!L$19</f>
        <v>0</v>
      </c>
      <c r="M32" s="9">
        <f>UK!M$19</f>
        <v>0</v>
      </c>
      <c r="N32" s="9">
        <f>UK!N$19</f>
        <v>750</v>
      </c>
      <c r="O32" s="9">
        <f>UK!O$19</f>
        <v>800</v>
      </c>
      <c r="P32" s="9">
        <f>UK!P$19</f>
        <v>1500</v>
      </c>
      <c r="Q32" s="9">
        <f>UK!Q$19</f>
        <v>900</v>
      </c>
      <c r="R32" s="9">
        <f>UK!R$19</f>
        <v>1300</v>
      </c>
      <c r="S32" s="9">
        <f>UK!S$19</f>
        <v>1500</v>
      </c>
      <c r="T32" s="9">
        <f>UK!T$19</f>
        <v>1200</v>
      </c>
      <c r="U32" s="9">
        <f>UK!U$19</f>
        <v>500</v>
      </c>
      <c r="V32" s="26">
        <f>UK!V$19</f>
        <v>300</v>
      </c>
      <c r="W32">
        <f>UK!W$19</f>
        <v>0</v>
      </c>
      <c r="Y32" s="3"/>
    </row>
    <row r="33" spans="1:24" ht="13.8" thickBot="1" x14ac:dyDescent="0.3">
      <c r="A33" s="37" t="s">
        <v>22</v>
      </c>
      <c r="B33" s="28">
        <f t="shared" si="4"/>
        <v>-0.18888085273534022</v>
      </c>
      <c r="C33" s="125">
        <f t="shared" ref="C33" si="5">SUM(C20:C32)</f>
        <v>-101877.02373514959</v>
      </c>
      <c r="D33" s="29">
        <f t="shared" ref="D33:E33" si="6">SUM(D20:D32)</f>
        <v>-88148.982391921003</v>
      </c>
      <c r="E33" s="40">
        <f t="shared" si="6"/>
        <v>96913.082060491317</v>
      </c>
      <c r="F33" s="29">
        <f>SUM(F20:F32)</f>
        <v>119480.6982270258</v>
      </c>
      <c r="G33" s="29">
        <f t="shared" ref="G33:K33" si="7">SUM(G20:G32)</f>
        <v>100523.63013093409</v>
      </c>
      <c r="H33" s="29">
        <f t="shared" si="7"/>
        <v>167915.26005604299</v>
      </c>
      <c r="I33" s="29">
        <f t="shared" si="7"/>
        <v>133731.76026694558</v>
      </c>
      <c r="J33" s="29">
        <f t="shared" si="7"/>
        <v>103834.66099430954</v>
      </c>
      <c r="K33" s="29">
        <f t="shared" si="7"/>
        <v>141038.05398112297</v>
      </c>
      <c r="L33" s="29">
        <f t="shared" ref="L33:Q33" si="8">SUM(L20:L32)</f>
        <v>100489.519</v>
      </c>
      <c r="M33" s="29">
        <f t="shared" si="8"/>
        <v>111830</v>
      </c>
      <c r="N33" s="29">
        <f t="shared" si="8"/>
        <v>135353.89282760106</v>
      </c>
      <c r="O33" s="29">
        <f t="shared" si="8"/>
        <v>106641.4794967926</v>
      </c>
      <c r="P33" s="29">
        <f t="shared" si="8"/>
        <v>110113.95572373937</v>
      </c>
      <c r="Q33" s="29">
        <f t="shared" si="8"/>
        <v>43874.644313676508</v>
      </c>
      <c r="R33" s="29">
        <f t="shared" ref="R33:W33" si="9">SUM(R20:R32)</f>
        <v>105475.61412205466</v>
      </c>
      <c r="S33" s="29">
        <f t="shared" si="9"/>
        <v>99913.259798806903</v>
      </c>
      <c r="T33" s="29">
        <f t="shared" si="9"/>
        <v>89072</v>
      </c>
      <c r="U33" s="29">
        <f t="shared" si="9"/>
        <v>33634</v>
      </c>
      <c r="V33" s="29">
        <f t="shared" si="9"/>
        <v>92224</v>
      </c>
      <c r="W33" s="79">
        <f t="shared" si="9"/>
        <v>107434</v>
      </c>
    </row>
    <row r="34" spans="1:24" x14ac:dyDescent="0.25">
      <c r="B34" s="3" t="s">
        <v>159</v>
      </c>
      <c r="W34" s="1"/>
    </row>
    <row r="35" spans="1:24" x14ac:dyDescent="0.25">
      <c r="B35" s="45" t="s">
        <v>161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4" x14ac:dyDescent="0.25">
      <c r="B36" s="45" t="s">
        <v>167</v>
      </c>
      <c r="V36" s="1"/>
      <c r="W36" s="1"/>
    </row>
    <row r="37" spans="1:24" x14ac:dyDescent="0.25">
      <c r="F37" s="1"/>
      <c r="V37" s="1"/>
      <c r="W37" s="1"/>
    </row>
    <row r="38" spans="1:24" x14ac:dyDescent="0.25">
      <c r="A38" s="114"/>
      <c r="E38" s="1"/>
      <c r="F38" s="1"/>
    </row>
    <row r="39" spans="1:24" ht="25.5" customHeight="1" x14ac:dyDescent="0.25">
      <c r="A39" s="11"/>
      <c r="B39" s="11"/>
      <c r="C39" s="126"/>
      <c r="D39" s="127"/>
      <c r="E39" s="127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5"/>
      <c r="W39" s="115"/>
    </row>
    <row r="40" spans="1:24" x14ac:dyDescent="0.25">
      <c r="C40" s="74"/>
      <c r="D40" s="74"/>
      <c r="E40" s="74"/>
      <c r="F40" s="1"/>
      <c r="V40" s="1"/>
      <c r="W40" s="1"/>
    </row>
    <row r="41" spans="1:24" ht="25.5" customHeight="1" x14ac:dyDescent="0.25">
      <c r="A41" s="113"/>
      <c r="B41" s="113"/>
      <c r="C41" s="128"/>
      <c r="D41" s="113"/>
      <c r="E41" s="116"/>
      <c r="F41" s="116"/>
      <c r="G41" s="113"/>
      <c r="H41" s="116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6"/>
      <c r="W41" s="116"/>
      <c r="X41" s="117"/>
    </row>
    <row r="42" spans="1:24" x14ac:dyDescent="0.25">
      <c r="C42" s="74"/>
      <c r="V42" s="12"/>
      <c r="W42" s="12"/>
      <c r="X42" s="1"/>
    </row>
    <row r="43" spans="1:24" x14ac:dyDescent="0.25">
      <c r="C43" s="74"/>
      <c r="V43" s="12"/>
      <c r="W43" s="12"/>
      <c r="X43" s="1"/>
    </row>
    <row r="44" spans="1:24" hidden="1" x14ac:dyDescent="0.25">
      <c r="C44" s="74"/>
      <c r="G44" s="1">
        <v>-13841.630521345185</v>
      </c>
      <c r="V44" s="12"/>
      <c r="W44" s="12"/>
      <c r="X44" s="1"/>
    </row>
    <row r="45" spans="1:24" hidden="1" x14ac:dyDescent="0.25">
      <c r="C45" s="74"/>
      <c r="G45" s="1">
        <v>7985.9319039083202</v>
      </c>
      <c r="V45" s="12"/>
      <c r="W45" s="12"/>
      <c r="X45" s="1"/>
    </row>
    <row r="46" spans="1:24" hidden="1" x14ac:dyDescent="0.25">
      <c r="C46" s="74"/>
      <c r="G46" s="1">
        <f>G16+G33-'Europe - variety'!G32-'Europe - variety'!G44</f>
        <v>0</v>
      </c>
      <c r="V46" s="12"/>
      <c r="W46" s="12"/>
      <c r="X46" s="1"/>
    </row>
    <row r="47" spans="1:24" hidden="1" x14ac:dyDescent="0.25">
      <c r="B47" s="74"/>
      <c r="G47" s="1">
        <f>D16+D33-'Europe - variety'!D32-'Europe - variety'!D44</f>
        <v>0</v>
      </c>
      <c r="V47" s="12"/>
      <c r="W47" s="12"/>
      <c r="X47" s="1"/>
    </row>
    <row r="48" spans="1:24" x14ac:dyDescent="0.25">
      <c r="C48" s="129"/>
      <c r="V48" s="12"/>
      <c r="W48" s="12"/>
      <c r="X48" s="1"/>
    </row>
    <row r="49" spans="1:24" x14ac:dyDescent="0.25">
      <c r="A49" s="14"/>
      <c r="B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2"/>
      <c r="W49" s="12"/>
      <c r="X49" s="1"/>
    </row>
    <row r="50" spans="1:24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2"/>
      <c r="W50" s="12"/>
      <c r="X50" s="1"/>
    </row>
    <row r="51" spans="1:24" x14ac:dyDescent="0.25">
      <c r="A51" s="14"/>
      <c r="B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2"/>
      <c r="W51" s="12"/>
      <c r="X51" s="1"/>
    </row>
    <row r="52" spans="1:24" x14ac:dyDescent="0.25">
      <c r="A52" s="14"/>
      <c r="B52" s="14"/>
      <c r="C52" s="1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2"/>
      <c r="W52" s="12"/>
      <c r="X52" s="1"/>
    </row>
    <row r="53" spans="1:24" x14ac:dyDescent="0.25">
      <c r="A53" s="14"/>
      <c r="B53" s="14"/>
      <c r="C53" s="68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2"/>
      <c r="W53" s="12"/>
      <c r="X53" s="1"/>
    </row>
    <row r="54" spans="1:24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2"/>
      <c r="W54" s="12"/>
      <c r="X54" s="1"/>
    </row>
    <row r="55" spans="1:24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2"/>
      <c r="W55" s="12"/>
      <c r="X55" s="1"/>
    </row>
    <row r="56" spans="1:24" x14ac:dyDescent="0.25">
      <c r="V56" s="12"/>
      <c r="W56" s="12"/>
      <c r="X56" s="1"/>
    </row>
    <row r="57" spans="1:24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2"/>
      <c r="W57" s="12"/>
      <c r="X57" s="2"/>
    </row>
    <row r="58" spans="1:24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2"/>
      <c r="W58" s="12"/>
    </row>
    <row r="59" spans="1:24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2"/>
      <c r="W59" s="12"/>
      <c r="X59" s="1"/>
    </row>
    <row r="60" spans="1:24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2"/>
      <c r="W60" s="12"/>
      <c r="X60" s="1"/>
    </row>
    <row r="61" spans="1:24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2"/>
      <c r="W61" s="12"/>
      <c r="X61" s="1"/>
    </row>
    <row r="62" spans="1:24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2"/>
      <c r="W62" s="12"/>
      <c r="X62" s="1"/>
    </row>
    <row r="63" spans="1:24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2"/>
      <c r="W63" s="12"/>
      <c r="X63" s="1"/>
    </row>
    <row r="64" spans="1:24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2"/>
      <c r="W64" s="12"/>
      <c r="X64" s="2"/>
    </row>
    <row r="65" spans="1:23" ht="26.25" customHeigh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3"/>
      <c r="W65" s="13"/>
    </row>
    <row r="66" spans="1:23" x14ac:dyDescent="0.25">
      <c r="V66" s="1"/>
      <c r="W66" s="1"/>
    </row>
    <row r="67" spans="1:23" x14ac:dyDescent="0.25">
      <c r="V67" s="1"/>
      <c r="W67" s="1"/>
    </row>
    <row r="68" spans="1:23" x14ac:dyDescent="0.25">
      <c r="V68" s="1"/>
      <c r="W68" s="1"/>
    </row>
    <row r="69" spans="1:23" x14ac:dyDescent="0.25">
      <c r="V69" s="10"/>
      <c r="W69" s="10"/>
    </row>
    <row r="70" spans="1:23" x14ac:dyDescent="0.25">
      <c r="V70" s="10"/>
      <c r="W70" s="10"/>
    </row>
    <row r="71" spans="1:23" x14ac:dyDescent="0.25">
      <c r="V71" s="1"/>
      <c r="W71" s="10"/>
    </row>
    <row r="72" spans="1:23" x14ac:dyDescent="0.25">
      <c r="V72" s="1"/>
      <c r="W72" s="1"/>
    </row>
    <row r="73" spans="1:23" x14ac:dyDescent="0.25">
      <c r="V73" s="1"/>
      <c r="W73" s="1"/>
    </row>
    <row r="74" spans="1:23" x14ac:dyDescent="0.25">
      <c r="V74" s="1"/>
      <c r="W74" s="1"/>
    </row>
    <row r="75" spans="1:23" x14ac:dyDescent="0.25">
      <c r="V75" s="1"/>
      <c r="W75" s="1"/>
    </row>
    <row r="76" spans="1:23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2"/>
      <c r="W76" s="2"/>
    </row>
    <row r="81" spans="1:2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</sheetData>
  <phoneticPr fontId="2" type="noConversion"/>
  <conditionalFormatting sqref="E1 E19">
    <cfRule type="expression" dxfId="27" priority="2">
      <formula>ISBLANK(XFD1)=FALSE</formula>
    </cfRule>
  </conditionalFormatting>
  <pageMargins left="0.75" right="0.75" top="1" bottom="1" header="0.5" footer="0.5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DC52"/>
  <sheetViews>
    <sheetView zoomScaleNormal="100" workbookViewId="0"/>
  </sheetViews>
  <sheetFormatPr defaultColWidth="9.109375" defaultRowHeight="13.2" x14ac:dyDescent="0.25"/>
  <cols>
    <col min="1" max="1" width="19.6640625" customWidth="1"/>
    <col min="2" max="2" width="12" bestFit="1" customWidth="1"/>
    <col min="3" max="3" width="11.33203125" customWidth="1"/>
    <col min="4" max="4" width="11.33203125" bestFit="1" customWidth="1"/>
    <col min="5" max="5" width="11.33203125" customWidth="1"/>
    <col min="6" max="12" width="11.44140625" customWidth="1"/>
    <col min="13" max="21" width="10.6640625" customWidth="1"/>
  </cols>
  <sheetData>
    <row r="1" spans="1:22" ht="13.8" thickBot="1" x14ac:dyDescent="0.3">
      <c r="A1" s="34" t="s">
        <v>90</v>
      </c>
      <c r="B1" s="119" t="s">
        <v>170</v>
      </c>
      <c r="C1" s="44" t="s">
        <v>171</v>
      </c>
      <c r="D1" s="67" t="s">
        <v>168</v>
      </c>
      <c r="E1" s="91">
        <v>45778</v>
      </c>
      <c r="F1" s="97">
        <v>45413</v>
      </c>
      <c r="G1" s="97">
        <v>45047</v>
      </c>
      <c r="H1" s="97">
        <v>44682</v>
      </c>
      <c r="I1" s="97">
        <v>44317</v>
      </c>
      <c r="J1" s="97">
        <v>43952</v>
      </c>
      <c r="K1" s="97">
        <v>43586</v>
      </c>
      <c r="L1" s="97">
        <v>43221</v>
      </c>
      <c r="M1" s="20">
        <v>42856</v>
      </c>
      <c r="N1" s="20">
        <v>42491</v>
      </c>
      <c r="O1" s="20">
        <v>42125</v>
      </c>
      <c r="P1" s="20">
        <v>41760</v>
      </c>
      <c r="Q1" s="20">
        <v>41395</v>
      </c>
      <c r="R1" s="20">
        <v>41030</v>
      </c>
      <c r="S1" s="20">
        <v>40664</v>
      </c>
      <c r="T1" s="20">
        <v>40299</v>
      </c>
      <c r="U1" s="21">
        <v>39934</v>
      </c>
    </row>
    <row r="2" spans="1:22" x14ac:dyDescent="0.25">
      <c r="A2" s="35" t="s">
        <v>20</v>
      </c>
      <c r="B2" s="42" t="str">
        <f t="shared" ref="B2:B32" si="0">IFERROR(((E2-F2)/F2),"")</f>
        <v/>
      </c>
      <c r="C2" s="104">
        <v>0</v>
      </c>
      <c r="D2" s="33">
        <v>0</v>
      </c>
      <c r="E2" s="38">
        <f>Italy!E$2</f>
        <v>0</v>
      </c>
      <c r="F2" s="33">
        <f>Italy!F$2</f>
        <v>0</v>
      </c>
      <c r="G2" s="33">
        <f>Italy!G$2</f>
        <v>0</v>
      </c>
      <c r="H2" s="33">
        <f>Italy!H$2</f>
        <v>0</v>
      </c>
      <c r="I2" s="33">
        <f>Italy!I$2</f>
        <v>0</v>
      </c>
      <c r="J2" s="33">
        <f>Italy!J$2</f>
        <v>0</v>
      </c>
      <c r="K2" s="33">
        <f>Italy!K$2</f>
        <v>0</v>
      </c>
      <c r="L2" s="33">
        <f>Italy!L$2</f>
        <v>0</v>
      </c>
      <c r="M2" s="33">
        <f>Italy!M$2</f>
        <v>0</v>
      </c>
      <c r="N2" s="33">
        <f>Italy!N$2</f>
        <v>0</v>
      </c>
      <c r="O2" s="33">
        <f>Italy!O$2</f>
        <v>0</v>
      </c>
      <c r="P2" s="33">
        <f>Italy!P$2</f>
        <v>0</v>
      </c>
      <c r="Q2" s="33">
        <f>Italy!Q$2</f>
        <v>0</v>
      </c>
      <c r="R2" s="33">
        <f>Italy!R$2</f>
        <v>0</v>
      </c>
      <c r="S2" s="33">
        <f>Italy!S$2</f>
        <v>0</v>
      </c>
      <c r="T2" s="33">
        <f>Italy!T$2</f>
        <v>0</v>
      </c>
      <c r="U2" s="59">
        <f>Italy!U$2</f>
        <v>0</v>
      </c>
      <c r="V2" s="33"/>
    </row>
    <row r="3" spans="1:22" x14ac:dyDescent="0.25">
      <c r="A3" s="35" t="s">
        <v>4</v>
      </c>
      <c r="B3" s="42">
        <f t="shared" si="0"/>
        <v>-0.50373182663366178</v>
      </c>
      <c r="C3" s="104">
        <v>-880.72309999999993</v>
      </c>
      <c r="D3" s="33">
        <v>-1598.9076758404779</v>
      </c>
      <c r="E3" s="38">
        <f>Austria!E$3+Belgium!E$2+Denmark!E$2+France!E$4+Germany!E$2+Switzerland!E$2+Netherlands!E$2+Poland!E$2</f>
        <v>497.2355</v>
      </c>
      <c r="F3" s="33">
        <f>Austria!F$3+Belgium!F$2+Denmark!F$2+France!F$4+Germany!F$2+Switzerland!F$2+Netherlands!F$2+Poland!F$2</f>
        <v>1001.9492014309524</v>
      </c>
      <c r="G3" s="33">
        <f>Austria!G$3+Belgium!G$2+Denmark!G$2+France!G$4+Germany!G$2+Switzerland!G$2+Netherlands!G$2+Poland!G$2</f>
        <v>1078.5238095238096</v>
      </c>
      <c r="H3" s="33">
        <f>Austria!H$3+Belgium!H$2+Denmark!H$2+France!H$4+Germany!H$2+Switzerland!H$2+Netherlands!H$2+Poland!H$2</f>
        <v>5063</v>
      </c>
      <c r="I3" s="33">
        <f>Austria!I$3+Belgium!I$2+Denmark!I$2+France!I$4+Germany!I$2+Switzerland!I$2+Netherlands!I$2+Poland!I$2</f>
        <v>1300.5780874512986</v>
      </c>
      <c r="J3" s="33">
        <f>Austria!J$3+Belgium!J$2+Denmark!J$2+France!J$4+Germany!J$2+Switzerland!J$2+Netherlands!J$2+Poland!J$2</f>
        <v>41</v>
      </c>
      <c r="K3" s="33">
        <f>Austria!K$3+Belgium!K$2+Denmark!K$2+France!K$4+Germany!K$2+Switzerland!K$2+Netherlands!K$2+Poland!K$2</f>
        <v>3098</v>
      </c>
      <c r="L3" s="33">
        <f>Austria!L$3+Belgium!L$2+Denmark!L$2+France!L$4+Germany!L$2+Switzerland!L$2+Netherlands!L$2+Poland!L$2</f>
        <v>132</v>
      </c>
      <c r="M3" s="33">
        <f>Austria!M$3+Belgium!M$2+Denmark!M$2+France!M$4+Germany!M$2+Switzerland!M$2+Netherlands!M$2+Poland!M$2</f>
        <v>1622</v>
      </c>
      <c r="N3" s="33">
        <f>Austria!N$3+Belgium!N$2+Denmark!N$2+France!N$4+Germany!N$2+Switzerland!N$2+Netherlands!N$2+Poland!N$2</f>
        <v>1317</v>
      </c>
      <c r="O3" s="33">
        <f>Austria!O$3+Belgium!O$2+Denmark!O$2+France!O$4+Germany!O$2+Switzerland!O$2+Netherlands!O$2+Poland!O$2</f>
        <v>2002</v>
      </c>
      <c r="P3" s="33">
        <f>Austria!P$3+Belgium!P$2+Denmark!P$2+France!P$4+Germany!P$2+Switzerland!P$2+Netherlands!P$2+Poland!P$2</f>
        <v>1621</v>
      </c>
      <c r="Q3" s="33">
        <f>Austria!Q$3+Belgium!Q$2+Denmark!Q$2+France!Q$4+Germany!Q$2+Switzerland!Q$2+Netherlands!Q$2+Poland!Q$2</f>
        <v>0</v>
      </c>
      <c r="R3" s="33">
        <f>Austria!R$3+Belgium!R$2+Denmark!R$2+France!R$4+Germany!R$2+Switzerland!R$2+Netherlands!R$2+Poland!R$2</f>
        <v>846</v>
      </c>
      <c r="S3" s="33">
        <f>Austria!S$3+Belgium!S$2+Denmark!S$2+France!S$4+Germany!S$2+Switzerland!S$2+Netherlands!S$2+Poland!S$2</f>
        <v>137</v>
      </c>
      <c r="T3" s="33">
        <f>Austria!T$3+Belgium!T$2+Denmark!T$2+France!T$4+Germany!T$2+Switzerland!T$2+Netherlands!T$2+Poland!T$2</f>
        <v>160</v>
      </c>
      <c r="U3" s="59">
        <f>Austria!U$3+Belgium!U$2+Denmark!U$2+France!U$4+Germany!U$2+Switzerland!U$2+Netherlands!U$2+Poland!U$2</f>
        <v>2687</v>
      </c>
      <c r="V3" s="3"/>
    </row>
    <row r="4" spans="1:22" x14ac:dyDescent="0.25">
      <c r="A4" s="35" t="s">
        <v>11</v>
      </c>
      <c r="B4" s="42">
        <f t="shared" si="0"/>
        <v>9.8271532251665669E-2</v>
      </c>
      <c r="C4" s="104">
        <v>-19090.506421695096</v>
      </c>
      <c r="D4" s="33">
        <v>-19596.95605915799</v>
      </c>
      <c r="E4" s="38">
        <f>Austria!E$4+France!E$5+Germany!E$3+Italy!E$3+Switzerland!E$3+UK!E$2+'Czech Republic'!E$2</f>
        <v>30407.112524646367</v>
      </c>
      <c r="F4" s="33">
        <f>Austria!F$4+France!F$5+Germany!F$3+Italy!F$3+Switzerland!F$3+UK!F$2+'Czech Republic'!F$2</f>
        <v>27686.334054663148</v>
      </c>
      <c r="G4" s="33">
        <f>Austria!G$4+France!G$5+Germany!G$3+Italy!G$3+Switzerland!G$3+UK!G$2+'Czech Republic'!G$2</f>
        <v>32108.657751595485</v>
      </c>
      <c r="H4" s="33">
        <f>Austria!H$4+France!H$5+Germany!H$3+Italy!H$3+Switzerland!H$3+UK!H$2+'Czech Republic'!H$2</f>
        <v>41380.378122729504</v>
      </c>
      <c r="I4" s="33">
        <f>Austria!I$4+France!I$5+Germany!I$3+Italy!I$3+Switzerland!I$3+UK!I$2+'Czech Republic'!I$2</f>
        <v>32679.68</v>
      </c>
      <c r="J4" s="33">
        <f>Austria!J$4+France!J$5+Germany!J$3+Italy!J$3+Switzerland!J$3+UK!J$2+'Czech Republic'!J$2</f>
        <v>34948.120000000003</v>
      </c>
      <c r="K4" s="33">
        <f>Austria!K$4+France!K$5+Germany!K$3+Italy!K$3+Switzerland!K$3+UK!K$2+'Czech Republic'!K$2</f>
        <v>53374.2</v>
      </c>
      <c r="L4" s="33">
        <f>Austria!L$4+France!L$5+Germany!L$3+Italy!L$3+Switzerland!L$3+UK!L$2+'Czech Republic'!L$2</f>
        <v>10438.4</v>
      </c>
      <c r="M4" s="33">
        <f>Austria!M$4+France!M$5+Germany!M$3+Italy!M$3+Switzerland!M$3+UK!M$2+'Czech Republic'!M$2</f>
        <v>31678.44</v>
      </c>
      <c r="N4" s="33">
        <f>Austria!N$4+France!N$5+Germany!N$3+Italy!N$3+Switzerland!N$3+UK!N$2+'Czech Republic'!N$2</f>
        <v>30804.190000000002</v>
      </c>
      <c r="O4" s="33">
        <f>Austria!O$4+France!O$5+Germany!O$3+Italy!O$3+Switzerland!O$3+UK!O$2+'Czech Republic'!O$2</f>
        <v>27731.21</v>
      </c>
      <c r="P4" s="33">
        <f>Austria!P$4+France!P$5+Germany!P$3+Italy!P$3+Switzerland!P$3+UK!P$2+'Czech Republic'!P$2</f>
        <v>44195.4</v>
      </c>
      <c r="Q4" s="33">
        <f>Austria!Q$4+France!Q$5+Germany!Q$3+Italy!Q$3+Switzerland!Q$3+UK!Q$2+'Czech Republic'!Q$2</f>
        <v>14734</v>
      </c>
      <c r="R4" s="33">
        <f>Austria!R$4+France!R$5+Germany!R$3+Italy!R$3+Switzerland!R$3+UK!R$2+'Czech Republic'!R$2</f>
        <v>40291</v>
      </c>
      <c r="S4" s="33">
        <f>Austria!S$4+France!S$5+Germany!S$3+Italy!S$3+Switzerland!S$3+UK!S$2+'Czech Republic'!S$2</f>
        <v>30446</v>
      </c>
      <c r="T4" s="33">
        <f>Austria!T$4+France!T$5+Germany!T$3+Italy!T$3+Switzerland!T$3+UK!T$2+'Czech Republic'!T$2</f>
        <v>43455.199999999997</v>
      </c>
      <c r="U4" s="59">
        <f>Austria!U$4+France!U$5+Germany!U$3+Italy!U$3+Switzerland!U$3+UK!U$2+'Czech Republic'!U$2</f>
        <v>16063</v>
      </c>
    </row>
    <row r="5" spans="1:22" x14ac:dyDescent="0.25">
      <c r="A5" s="35" t="s">
        <v>35</v>
      </c>
      <c r="B5" s="42">
        <f t="shared" si="0"/>
        <v>3.0582627118644066</v>
      </c>
      <c r="C5" s="104">
        <v>-868</v>
      </c>
      <c r="D5" s="33">
        <v>-588</v>
      </c>
      <c r="E5" s="38">
        <f>UK!E$3</f>
        <v>3831</v>
      </c>
      <c r="F5" s="33">
        <f>UK!F$3</f>
        <v>944</v>
      </c>
      <c r="G5" s="33">
        <f>UK!G$3</f>
        <v>4208</v>
      </c>
      <c r="H5" s="33">
        <f>UK!H$3</f>
        <v>5663</v>
      </c>
      <c r="I5" s="33">
        <f>UK!I$3</f>
        <v>9051</v>
      </c>
      <c r="J5" s="33">
        <f>UK!J$3</f>
        <v>7087</v>
      </c>
      <c r="K5" s="33">
        <f>UK!K$3</f>
        <v>12250</v>
      </c>
      <c r="L5" s="33">
        <f>UK!L$3</f>
        <v>11000</v>
      </c>
      <c r="M5" s="33">
        <f>UK!M$3</f>
        <v>0</v>
      </c>
      <c r="N5" s="33">
        <f>UK!N$3</f>
        <v>9000</v>
      </c>
      <c r="O5" s="33">
        <f>UK!O$3</f>
        <v>19500</v>
      </c>
      <c r="P5" s="33">
        <f>UK!P$3</f>
        <v>20000</v>
      </c>
      <c r="Q5" s="33">
        <f>UK!Q$3</f>
        <v>7000</v>
      </c>
      <c r="R5" s="33">
        <f>UK!R$3</f>
        <v>16000</v>
      </c>
      <c r="S5" s="33">
        <f>UK!S$3</f>
        <v>16000</v>
      </c>
      <c r="T5" s="33">
        <f>UK!T$3</f>
        <v>18000</v>
      </c>
      <c r="U5" s="59">
        <f>UK!U$3</f>
        <v>20000</v>
      </c>
    </row>
    <row r="6" spans="1:22" x14ac:dyDescent="0.25">
      <c r="A6" s="35" t="s">
        <v>28</v>
      </c>
      <c r="B6" s="42">
        <f t="shared" si="0"/>
        <v>74.2</v>
      </c>
      <c r="C6" s="104">
        <v>-688</v>
      </c>
      <c r="D6" s="33">
        <v>-306</v>
      </c>
      <c r="E6" s="38">
        <f>France!E6+UK!E4</f>
        <v>2256</v>
      </c>
      <c r="F6" s="33">
        <f>France!F6+UK!F4</f>
        <v>30</v>
      </c>
      <c r="G6" s="33">
        <f>France!G6+UK!G4</f>
        <v>2050</v>
      </c>
      <c r="H6" s="33">
        <f>France!H6+UK!H4</f>
        <v>545</v>
      </c>
      <c r="I6" s="33">
        <f>France!I6+UK!I4</f>
        <v>803</v>
      </c>
      <c r="J6" s="33">
        <f>France!J6+UK!J4</f>
        <v>116</v>
      </c>
      <c r="K6" s="33">
        <f>France!K6+UK!K4</f>
        <v>271</v>
      </c>
      <c r="L6" s="33">
        <f>France!L6+UK!L4</f>
        <v>0</v>
      </c>
      <c r="M6" s="33">
        <f>France!M6+UK!M4</f>
        <v>0</v>
      </c>
      <c r="N6" s="33">
        <f>France!N6+UK!N4</f>
        <v>850</v>
      </c>
      <c r="O6" s="33">
        <f>France!O6+UK!O4</f>
        <v>100</v>
      </c>
      <c r="P6" s="33">
        <f>France!P6+UK!P4</f>
        <v>172</v>
      </c>
      <c r="Q6" s="33">
        <f>France!Q6+UK!Q4</f>
        <v>29</v>
      </c>
      <c r="R6" s="33">
        <f>France!R6+UK!R4</f>
        <v>564</v>
      </c>
      <c r="S6" s="33">
        <f>France!S6+UK!S4</f>
        <v>648</v>
      </c>
      <c r="T6" s="33">
        <f>France!T6+UK!T4</f>
        <v>743</v>
      </c>
      <c r="U6" s="59">
        <f>France!U6+UK!U4</f>
        <v>0</v>
      </c>
    </row>
    <row r="7" spans="1:22" x14ac:dyDescent="0.25">
      <c r="A7" s="35" t="s">
        <v>32</v>
      </c>
      <c r="B7" s="42" t="str">
        <f t="shared" si="0"/>
        <v/>
      </c>
      <c r="C7" s="104">
        <v>0</v>
      </c>
      <c r="D7" s="33">
        <v>0</v>
      </c>
      <c r="E7" s="38">
        <f>Poland!E$3</f>
        <v>0</v>
      </c>
      <c r="F7" s="33">
        <f>Poland!F$3</f>
        <v>0</v>
      </c>
      <c r="G7" s="33">
        <f>Poland!G$3</f>
        <v>0</v>
      </c>
      <c r="H7" s="33">
        <f>Poland!H$3</f>
        <v>0</v>
      </c>
      <c r="I7" s="33">
        <f>Poland!I$3</f>
        <v>0</v>
      </c>
      <c r="J7" s="33">
        <f>Poland!J$3</f>
        <v>0</v>
      </c>
      <c r="K7" s="33">
        <f>Poland!K$3</f>
        <v>0</v>
      </c>
      <c r="L7" s="33">
        <f>Poland!L$3</f>
        <v>0</v>
      </c>
      <c r="M7" s="33">
        <f>Poland!M$3</f>
        <v>0</v>
      </c>
      <c r="N7" s="33">
        <f>Poland!N$3</f>
        <v>0</v>
      </c>
      <c r="O7" s="33">
        <f>Poland!O$3</f>
        <v>0</v>
      </c>
      <c r="P7" s="33">
        <f>Poland!P$3</f>
        <v>0</v>
      </c>
      <c r="Q7" s="33">
        <f>Poland!Q$3</f>
        <v>0</v>
      </c>
      <c r="R7" s="33">
        <f>Poland!R$3</f>
        <v>0</v>
      </c>
      <c r="S7" s="33">
        <f>Poland!S$3</f>
        <v>0</v>
      </c>
      <c r="T7" s="33">
        <f>Poland!T$3</f>
        <v>1000</v>
      </c>
      <c r="U7" s="59">
        <f>Poland!U$3</f>
        <v>500</v>
      </c>
    </row>
    <row r="8" spans="1:22" x14ac:dyDescent="0.25">
      <c r="A8" s="35" t="s">
        <v>5</v>
      </c>
      <c r="B8" s="42" t="str">
        <f t="shared" si="0"/>
        <v/>
      </c>
      <c r="C8" s="104">
        <v>0</v>
      </c>
      <c r="D8" s="33">
        <v>0</v>
      </c>
      <c r="E8" s="38">
        <f>Belgium!E$3+Denmark!E$4+Germany!E$4+Switzerland!E$4+UK!E$5</f>
        <v>0</v>
      </c>
      <c r="F8" s="33">
        <f>Belgium!F$3+Denmark!F$4+Germany!F$4+Switzerland!F$4+UK!F$5</f>
        <v>0</v>
      </c>
      <c r="G8" s="33">
        <f>Belgium!G$3+Denmark!G$4+Germany!G$4+Switzerland!G$4+UK!G$5</f>
        <v>102</v>
      </c>
      <c r="H8" s="33">
        <f>Belgium!H$3+Denmark!H$4+Germany!H$4+Switzerland!H$4+UK!H$5</f>
        <v>0</v>
      </c>
      <c r="I8" s="33">
        <f>Belgium!I$3+Denmark!I$4+Germany!I$4+Switzerland!I$4+UK!I$5</f>
        <v>0</v>
      </c>
      <c r="J8" s="33">
        <f>Belgium!J$3+Denmark!J$4+Germany!J$4+Switzerland!J$4+UK!J$5</f>
        <v>0</v>
      </c>
      <c r="K8" s="33">
        <f>Belgium!K$3+Denmark!K$4+Germany!K$4+Switzerland!K$4+UK!K$5</f>
        <v>15</v>
      </c>
      <c r="L8" s="33">
        <f>Belgium!L$3+Denmark!L$4+Germany!L$4+Switzerland!L$4+UK!L$5</f>
        <v>0</v>
      </c>
      <c r="M8" s="33">
        <f>Belgium!M$3+Denmark!M$4+Germany!M$4+Switzerland!M$4+UK!M$5</f>
        <v>1</v>
      </c>
      <c r="N8" s="33">
        <f>Belgium!N$3+Denmark!N$4+Germany!N$4+Switzerland!N$4+UK!N$5</f>
        <v>32</v>
      </c>
      <c r="O8" s="33">
        <f>Belgium!O$3+Denmark!O$4+Germany!O$4+Switzerland!O$4+UK!O$5</f>
        <v>0</v>
      </c>
      <c r="P8" s="33">
        <f>Belgium!P$3+Denmark!P$4+Germany!P$4+Switzerland!P$4+UK!P$5</f>
        <v>3</v>
      </c>
      <c r="Q8" s="33">
        <f>Belgium!Q$3+Denmark!Q$4+Germany!Q$4+Switzerland!Q$4+UK!Q$5</f>
        <v>0</v>
      </c>
      <c r="R8" s="33">
        <f>Belgium!R$3+Denmark!R$4+Germany!R$4+Switzerland!R$4+UK!R$5</f>
        <v>0</v>
      </c>
      <c r="S8" s="33">
        <f>Belgium!S$3+Denmark!S$4+Germany!S$4+Switzerland!S$4+UK!S$5</f>
        <v>0</v>
      </c>
      <c r="T8" s="33">
        <f>Belgium!T$3+Denmark!T$4+Germany!T$4+Switzerland!T$4+UK!T$5</f>
        <v>2</v>
      </c>
      <c r="U8" s="59">
        <f>Belgium!U$3+Denmark!U$4+Germany!U$4+Switzerland!U$4+UK!U$5</f>
        <v>11</v>
      </c>
    </row>
    <row r="9" spans="1:22" x14ac:dyDescent="0.25">
      <c r="A9" s="35" t="s">
        <v>59</v>
      </c>
      <c r="B9" s="42">
        <f t="shared" si="0"/>
        <v>0.10220464683991522</v>
      </c>
      <c r="C9" s="104">
        <v>-43873.959000000003</v>
      </c>
      <c r="D9" s="33">
        <v>-43247.128000000004</v>
      </c>
      <c r="E9" s="38">
        <f>France!E$8+Italy!E$4</f>
        <v>68488.569699999993</v>
      </c>
      <c r="F9" s="33">
        <f>France!F$8+Italy!F$4</f>
        <v>62137.798000000003</v>
      </c>
      <c r="G9" s="33">
        <f>France!G$8+Italy!G$4</f>
        <v>58187.659</v>
      </c>
      <c r="H9" s="33">
        <f>France!H$8+Italy!H$4</f>
        <v>35546.300000000003</v>
      </c>
      <c r="I9" s="33">
        <f>France!I$8+Italy!I$4</f>
        <v>32839.82</v>
      </c>
      <c r="J9" s="33">
        <f>France!J$8+Italy!J$4</f>
        <v>24786.5</v>
      </c>
      <c r="K9" s="33">
        <f>France!K$8+Italy!K$4</f>
        <v>28628.510000000002</v>
      </c>
      <c r="L9" s="33">
        <f>France!L$8+Italy!L$4</f>
        <v>18452.599999999999</v>
      </c>
      <c r="M9" s="33">
        <f>France!M$8+Italy!M$4</f>
        <v>33573.4</v>
      </c>
      <c r="N9" s="33">
        <f>France!N$8+Italy!N$4</f>
        <v>24115</v>
      </c>
      <c r="O9" s="33">
        <f>France!O$8+Italy!O$4</f>
        <v>34255</v>
      </c>
      <c r="P9" s="33">
        <f>France!P$8+Italy!P$4</f>
        <v>19802</v>
      </c>
      <c r="Q9" s="33">
        <f>France!Q$8+Italy!Q$4</f>
        <v>5176</v>
      </c>
      <c r="R9" s="33">
        <f>France!R$8+Italy!R$4</f>
        <v>19109</v>
      </c>
      <c r="S9" s="33">
        <f>France!S$8+Italy!S$4</f>
        <v>10611</v>
      </c>
      <c r="T9" s="33">
        <f>France!T$8+Italy!T$4</f>
        <v>10692</v>
      </c>
      <c r="U9" s="59">
        <f>France!U$8+Italy!U$4</f>
        <v>0</v>
      </c>
    </row>
    <row r="10" spans="1:22" x14ac:dyDescent="0.25">
      <c r="A10" s="35" t="s">
        <v>2</v>
      </c>
      <c r="B10" s="42">
        <f t="shared" si="0"/>
        <v>0.2538674858549016</v>
      </c>
      <c r="C10" s="104">
        <v>-18717.602624390245</v>
      </c>
      <c r="D10" s="33">
        <v>-17391.072716959723</v>
      </c>
      <c r="E10" s="38">
        <f>Austria!E$5+Belgium!E$4+Denmark!E$5+France!E$9+Germany!E$5+Italy!E$5+Switzerland!E$5+Netherlands!E$3+Poland!E$4</f>
        <v>19955.0386</v>
      </c>
      <c r="F10" s="33">
        <f>Austria!F$5+Belgium!F$4+Denmark!F$5+France!F$9+Germany!F$5+Italy!F$5+Switzerland!F$5+Netherlands!F$3+Poland!F$4</f>
        <v>15914.79069767442</v>
      </c>
      <c r="G10" s="33">
        <f>Austria!G$5+Belgium!G$4+Denmark!G$5+France!G$9+Germany!G$5+Italy!G$5+Switzerland!G$5+Netherlands!G$3+Poland!G$4</f>
        <v>39484.380952380954</v>
      </c>
      <c r="H10" s="33">
        <f>Austria!H$5+Belgium!H$4+Denmark!H$5+France!H$9+Germany!H$5+Italy!H$5+Switzerland!H$5+Netherlands!H$3+Poland!H$4</f>
        <v>32248.619047619046</v>
      </c>
      <c r="I10" s="33">
        <f>Austria!I$5+Belgium!I$4+Denmark!I$5+France!I$9+Germany!I$5+Italy!I$5+Switzerland!I$5+Netherlands!I$3+Poland!I$4</f>
        <v>14921.727999999999</v>
      </c>
      <c r="J10" s="33">
        <f>Austria!J$5+Belgium!J$4+Denmark!J$5+France!J$9+Germany!J$5+Italy!J$5+Switzerland!J$5+Netherlands!J$3+Poland!J$4</f>
        <v>28240</v>
      </c>
      <c r="K10" s="33">
        <f>Austria!K$5+Belgium!K$4+Denmark!K$5+France!K$9+Germany!K$5+Italy!K$5+Switzerland!K$5+Netherlands!K$3+Poland!K$4</f>
        <v>19719.962299999999</v>
      </c>
      <c r="L10" s="33">
        <f>Austria!L$5+Belgium!L$4+Denmark!L$5+France!L$9+Germany!L$5+Italy!L$5+Switzerland!L$5+Netherlands!L$3+Poland!L$4</f>
        <v>8349.2099999999991</v>
      </c>
      <c r="M10" s="33">
        <f>Austria!M$5+Belgium!M$4+Denmark!M$5+France!M$9+Germany!M$5+Italy!M$5+Switzerland!M$5+Netherlands!M$3+Poland!M$4</f>
        <v>26724</v>
      </c>
      <c r="N10" s="33">
        <f>Austria!N$5+Belgium!N$4+Denmark!N$5+France!N$9+Germany!N$5+Italy!N$5+Switzerland!N$5+Netherlands!N$3+Poland!N$4</f>
        <v>25745.489999999998</v>
      </c>
      <c r="O10" s="33">
        <f>Austria!O$5+Belgium!O$4+Denmark!O$5+France!O$9+Germany!O$5+Italy!O$5+Switzerland!O$5+Netherlands!O$3+Poland!O$4</f>
        <v>39603.160000000003</v>
      </c>
      <c r="P10" s="33">
        <f>Austria!P$5+Belgium!P$4+Denmark!P$5+France!P$9+Germany!P$5+Italy!P$5+Switzerland!P$5+Netherlands!P$3+Poland!P$4</f>
        <v>24471.17</v>
      </c>
      <c r="Q10" s="33">
        <f>Austria!Q$5+Belgium!Q$4+Denmark!Q$5+France!Q$9+Germany!Q$5+Italy!Q$5+Switzerland!Q$5+Netherlands!Q$3+Poland!Q$4</f>
        <v>12898</v>
      </c>
      <c r="R10" s="33">
        <f>Austria!R$5+Belgium!R$4+Denmark!R$5+France!R$9+Germany!R$5+Italy!R$5+Switzerland!R$5+Netherlands!R$3+Poland!R$4</f>
        <v>26886</v>
      </c>
      <c r="S10" s="33">
        <f>Austria!S$5+Belgium!S$4+Denmark!S$5+France!S$9+Germany!S$5+Italy!S$5+Switzerland!S$5+Netherlands!S$3+Poland!S$4</f>
        <v>17555</v>
      </c>
      <c r="T10" s="33">
        <f>Austria!T$5+Belgium!T$4+Denmark!T$5+France!T$9+Germany!T$5+Italy!T$5+Switzerland!T$5+Netherlands!T$3+Poland!T$4</f>
        <v>31642</v>
      </c>
      <c r="U10" s="59">
        <f>Austria!U$5+Belgium!U$4+Denmark!U$5+France!U$9+Germany!U$5+Italy!U$5+Switzerland!U$5+Netherlands!U$3+Poland!U$4</f>
        <v>24569</v>
      </c>
    </row>
    <row r="11" spans="1:22" x14ac:dyDescent="0.25">
      <c r="A11" s="35" t="s">
        <v>12</v>
      </c>
      <c r="B11" s="42">
        <f t="shared" si="0"/>
        <v>9.6946087341775553E-2</v>
      </c>
      <c r="C11" s="104">
        <v>-23000.44962409341</v>
      </c>
      <c r="D11" s="33">
        <v>-23166.878162587713</v>
      </c>
      <c r="E11" s="38">
        <f>Austria!E$7+Denmark!E$6+France!E$10+Germany!E$6+Italy!E$6+Spain!E$2</f>
        <v>28412.19229338802</v>
      </c>
      <c r="F11" s="33">
        <f>Austria!F$7+Denmark!F$6+France!F$10+Germany!F$6+Italy!F$6+Spain!F$2</f>
        <v>25901.174744366112</v>
      </c>
      <c r="G11" s="33">
        <f>Austria!G$7+Denmark!G$6+France!G$10+Germany!G$6+Italy!G$6+Spain!G$2</f>
        <v>25098.081568963153</v>
      </c>
      <c r="H11" s="33">
        <f>Austria!H$7+Denmark!H$6+France!H$10+Germany!H$6+Italy!H$6+Spain!H$2</f>
        <v>45710.019290461431</v>
      </c>
      <c r="I11" s="33">
        <f>Austria!I$7+Denmark!I$6+France!I$10+Germany!I$6+Italy!I$6+Spain!I$2</f>
        <v>37508.621441590229</v>
      </c>
      <c r="J11" s="33">
        <f>Austria!J$7+Denmark!J$6+France!J$10+Germany!J$6+Italy!J$6+Spain!J$2</f>
        <v>37771.054698877393</v>
      </c>
      <c r="K11" s="33">
        <f>Austria!K$7+Denmark!K$6+France!K$10+Germany!K$6+Italy!K$6+Spain!K$2</f>
        <v>59136.089987302381</v>
      </c>
      <c r="L11" s="33">
        <f>Austria!L$7+Denmark!L$6+France!L$10+Germany!L$6+Italy!L$6+Spain!L$2</f>
        <v>26160.6</v>
      </c>
      <c r="M11" s="33">
        <f>Austria!M$7+Denmark!M$6+France!M$10+Germany!M$6+Italy!M$6+Spain!M$2</f>
        <v>38218.637997085338</v>
      </c>
      <c r="N11" s="33">
        <f>Austria!N$7+Denmark!N$6+France!N$10+Germany!N$6+Italy!N$6+Spain!N$2</f>
        <v>52313.415339949024</v>
      </c>
      <c r="O11" s="33">
        <f>Austria!O$7+Denmark!O$6+France!O$10+Germany!O$6+Italy!O$6+Spain!O$2</f>
        <v>34509.861021672827</v>
      </c>
      <c r="P11" s="33">
        <f>Austria!P$7+Denmark!P$6+France!P$10+Germany!P$6+Italy!P$6+Spain!P$2</f>
        <v>53960.86750188427</v>
      </c>
      <c r="Q11" s="33">
        <f>Austria!Q$7+Denmark!Q$6+France!Q$10+Germany!Q$6+Italy!Q$6+Spain!Q$2</f>
        <v>15890.655121871958</v>
      </c>
      <c r="R11" s="33">
        <f>Austria!R$7+Denmark!R$6+France!R$10+Germany!R$6+Italy!R$6+Spain!R$2</f>
        <v>30614</v>
      </c>
      <c r="S11" s="33">
        <f>Austria!S$7+Denmark!S$6+France!S$10+Germany!S$6+Italy!S$6+Spain!S$2</f>
        <v>41306.753939274226</v>
      </c>
      <c r="T11" s="33">
        <f>Austria!T$7+Denmark!T$6+France!T$10+Germany!T$6+Italy!T$6+Spain!T$2</f>
        <v>26115.919999999998</v>
      </c>
      <c r="U11" s="59">
        <f>Austria!U$7+Denmark!U$6+France!U$10+Germany!U$6+Italy!U$6+Spain!U$2</f>
        <v>17860.599999999999</v>
      </c>
    </row>
    <row r="12" spans="1:22" x14ac:dyDescent="0.25">
      <c r="A12" s="35" t="s">
        <v>9</v>
      </c>
      <c r="B12" s="42">
        <f t="shared" si="0"/>
        <v>-0.10181971514380478</v>
      </c>
      <c r="C12" s="104">
        <v>-35474.894048233255</v>
      </c>
      <c r="D12" s="33">
        <v>-59968.405951180132</v>
      </c>
      <c r="E12" s="38">
        <f>Austria!E$8+'Czech Republic'!E$3+Denmark!E$7+France!E$11+Germany!E$7+Italy!E$7+Spain!E$3+Switzerland!E$6+UK!E$6+Poland!E$5</f>
        <v>48464.817735962599</v>
      </c>
      <c r="F12" s="33">
        <f>Austria!F$8+'Czech Republic'!F$3+Denmark!F$7+France!F$11+Germany!F$7+Italy!F$7+Spain!F$3+Switzerland!F$6+UK!F$6+Poland!F$5</f>
        <v>53958.897287221291</v>
      </c>
      <c r="G12" s="33">
        <f>Austria!G$8+'Czech Republic'!G$3+Denmark!G$7+France!G$11+Germany!G$7+Italy!G$7+Spain!G$3+Switzerland!G$6+UK!G$6+Poland!G$5</f>
        <v>69168.735088521818</v>
      </c>
      <c r="H12" s="33">
        <f>Austria!H$8+'Czech Republic'!H$3+Denmark!H$7+France!H$11+Germany!H$7+Italy!H$7+Spain!H$3+Switzerland!H$6+UK!H$6+Poland!H$5</f>
        <v>88827.576279164554</v>
      </c>
      <c r="I12" s="33">
        <f>Austria!I$8+'Czech Republic'!I$3+Denmark!I$7+France!I$11+Germany!I$7+Italy!I$7+Spain!I$3+Switzerland!I$6+UK!I$6+Poland!I$5</f>
        <v>56905.367505945003</v>
      </c>
      <c r="J12" s="33">
        <f>Austria!J$8+'Czech Republic'!J$3+Denmark!J$7+France!J$11+Germany!J$7+Italy!J$7+Spain!J$3+Switzerland!J$6+UK!J$6+Poland!J$5</f>
        <v>47264.226722589883</v>
      </c>
      <c r="K12" s="33">
        <f>Austria!K$8+'Czech Republic'!K$3+Denmark!K$7+France!K$11+Germany!K$7+Italy!K$7+Spain!K$3+Switzerland!K$6+UK!K$6+Poland!K$5</f>
        <v>50570.3</v>
      </c>
      <c r="L12" s="33">
        <f>Austria!L$8+'Czech Republic'!L$3+Denmark!L$7+France!L$11+Germany!L$7+Italy!L$7+Spain!L$3+Switzerland!L$6+UK!L$6+Poland!L$5</f>
        <v>20546</v>
      </c>
      <c r="M12" s="33">
        <f>Austria!M$8+'Czech Republic'!M$3+Denmark!M$7+France!M$11+Germany!M$7+Italy!M$7+Spain!M$3+Switzerland!M$6+UK!M$6+Poland!M$5</f>
        <v>24215.96</v>
      </c>
      <c r="N12" s="33">
        <f>Austria!N$8+'Czech Republic'!N$3+Denmark!N$7+France!N$11+Germany!N$7+Italy!N$7+Spain!N$3+Switzerland!N$6+UK!N$6+Poland!N$5</f>
        <v>27908.800855748683</v>
      </c>
      <c r="O12" s="33">
        <f>Austria!O$8+'Czech Republic'!O$3+Denmark!O$7+France!O$11+Germany!O$7+Italy!O$7+Spain!O$3+Switzerland!O$6+UK!O$6+Poland!O$5</f>
        <v>26082.533281780474</v>
      </c>
      <c r="P12" s="33">
        <f>Austria!P$8+'Czech Republic'!P$3+Denmark!P$7+France!P$11+Germany!P$7+Italy!P$7+Spain!P$3+Switzerland!P$6+UK!P$6+Poland!P$5</f>
        <v>39859.016060743612</v>
      </c>
      <c r="Q12" s="33">
        <f>Austria!Q$8+'Czech Republic'!Q$3+Denmark!Q$7+France!Q$11+Germany!Q$7+Italy!Q$7+Spain!Q$3+Switzerland!Q$6+UK!Q$6+Poland!Q$5</f>
        <v>13602</v>
      </c>
      <c r="R12" s="33">
        <f>Austria!R$8+'Czech Republic'!R$3+Denmark!R$7+France!R$11+Germany!R$7+Italy!R$7+Spain!R$3+Switzerland!R$6+UK!R$6+Poland!R$5</f>
        <v>21774.468467897688</v>
      </c>
      <c r="S12" s="33">
        <f>Austria!S$8+'Czech Republic'!S$3+Denmark!S$7+France!S$11+Germany!S$7+Italy!S$7+Spain!S$3+Switzerland!S$6+UK!S$6+Poland!S$5</f>
        <v>30773.939805688682</v>
      </c>
      <c r="T12" s="33">
        <f>Austria!T$8+'Czech Republic'!T$3+Denmark!T$7+France!T$11+Germany!T$7+Italy!T$7+Spain!T$3+Switzerland!T$6+UK!T$6+Poland!T$5</f>
        <v>29817</v>
      </c>
      <c r="U12" s="59">
        <f>Austria!U$8+'Czech Republic'!U$3+Denmark!U$7+France!U$11+Germany!U$7+Italy!U$7+Spain!U$3+Switzerland!U$6+UK!U$6+Poland!U$5</f>
        <v>15195</v>
      </c>
    </row>
    <row r="13" spans="1:22" x14ac:dyDescent="0.25">
      <c r="A13" s="35" t="s">
        <v>14</v>
      </c>
      <c r="B13" s="42">
        <f t="shared" si="0"/>
        <v>0</v>
      </c>
      <c r="C13" s="104">
        <v>-5001</v>
      </c>
      <c r="D13" s="33">
        <v>-3001</v>
      </c>
      <c r="E13" s="38">
        <f>Austria!E$9+Belgium!E$5+'Czech Republic'!E$4+Denmark!E$8+Germany!E$8+Italy!E$8+Poland!E$6</f>
        <v>4000</v>
      </c>
      <c r="F13" s="33">
        <f>Austria!F$9+Belgium!F$5+'Czech Republic'!F$4+Denmark!F$8+Germany!F$8+Italy!F$8+Poland!F$6</f>
        <v>4000</v>
      </c>
      <c r="G13" s="33">
        <f>Austria!G$9+Belgium!G$5+'Czech Republic'!G$4+Denmark!G$8+Germany!G$8+Italy!G$8+Poland!G$6</f>
        <v>5008</v>
      </c>
      <c r="H13" s="33">
        <f>Austria!H$9+Belgium!H$5+'Czech Republic'!H$4+Denmark!H$8+Germany!H$8+Italy!H$8+Poland!H$6</f>
        <v>10049</v>
      </c>
      <c r="I13" s="33">
        <f>Austria!I$9+Belgium!I$5+'Czech Republic'!I$4+Denmark!I$8+Germany!I$8+Italy!I$8+Poland!I$6</f>
        <v>35046</v>
      </c>
      <c r="J13" s="33">
        <f>Austria!J$9+Belgium!J$5+'Czech Republic'!J$4+Denmark!J$8+Germany!J$8+Italy!J$8+Poland!J$6</f>
        <v>22000</v>
      </c>
      <c r="K13" s="33">
        <f>Austria!K$9+Belgium!K$5+'Czech Republic'!K$4+Denmark!K$8+Germany!K$8+Italy!K$8+Poland!K$6</f>
        <v>25584</v>
      </c>
      <c r="L13" s="33">
        <f>Austria!L$9+Belgium!L$5+'Czech Republic'!L$4+Denmark!L$8+Germany!L$8+Italy!L$8+Poland!L$6</f>
        <v>25218</v>
      </c>
      <c r="M13" s="33">
        <f>Austria!M$9+Belgium!M$5+'Czech Republic'!M$4+Denmark!M$8+Germany!M$8+Italy!M$8+Poland!M$6</f>
        <v>25217</v>
      </c>
      <c r="N13" s="33">
        <f>Austria!N$9+Belgium!N$5+'Czech Republic'!N$4+Denmark!N$8+Germany!N$8+Italy!N$8+Poland!N$6</f>
        <v>25566</v>
      </c>
      <c r="O13" s="33">
        <f>Austria!O$9+Belgium!O$5+'Czech Republic'!O$4+Denmark!O$8+Germany!O$8+Italy!O$8+Poland!O$6</f>
        <v>20501</v>
      </c>
      <c r="P13" s="33">
        <f>Austria!P$9+Belgium!P$5+'Czech Republic'!P$4+Denmark!P$8+Germany!P$8+Italy!P$8+Poland!P$6</f>
        <v>20275</v>
      </c>
      <c r="Q13" s="33">
        <f>Austria!Q$9+Belgium!Q$5+'Czech Republic'!Q$4+Denmark!Q$8+Germany!Q$8+Italy!Q$8+Poland!Q$6</f>
        <v>15122</v>
      </c>
      <c r="R13" s="33">
        <f>Austria!R$9+Belgium!R$5+'Czech Republic'!R$4+Denmark!R$8+Germany!R$8+Italy!R$8+Poland!R$6</f>
        <v>20501</v>
      </c>
      <c r="S13" s="33">
        <f>Austria!S$9+Belgium!S$5+'Czech Republic'!S$4+Denmark!S$8+Germany!S$8+Italy!S$8+Poland!S$6</f>
        <v>3940</v>
      </c>
      <c r="T13" s="33">
        <f>Austria!T$9+Belgium!T$5+'Czech Republic'!T$4+Denmark!T$8+Germany!T$8+Italy!T$8+Poland!T$6</f>
        <v>3179.97</v>
      </c>
      <c r="U13" s="59">
        <f>Austria!U$9+Belgium!U$5+'Czech Republic'!U$4+Denmark!U$8+Germany!U$8+Italy!U$8+Poland!U$6</f>
        <v>2719.5</v>
      </c>
    </row>
    <row r="14" spans="1:22" x14ac:dyDescent="0.25">
      <c r="A14" s="35" t="s">
        <v>3</v>
      </c>
      <c r="B14" s="42">
        <f t="shared" si="0"/>
        <v>-0.20477695716157868</v>
      </c>
      <c r="C14" s="104">
        <v>-122124.06347603688</v>
      </c>
      <c r="D14" s="33">
        <v>-148079.07155559235</v>
      </c>
      <c r="E14" s="38">
        <f>Austria!E$10+Belgium!E$6+'Czech Republic'!E$5+France!E$12+Germany!E$9+Italy!E$9+Spain!E$4+Switzerland!E$8+Netherlands!E$4+Poland!E$7</f>
        <v>425046.42208547052</v>
      </c>
      <c r="F14" s="33">
        <f>Austria!F$10+Belgium!F$6+'Czech Republic'!F$5+France!F$12+Germany!F$9+Italy!F$9+Spain!F$4+Switzerland!F$8+Netherlands!F$4+Poland!F$7</f>
        <v>534499.62990048097</v>
      </c>
      <c r="G14" s="33">
        <f>Austria!G$10+Belgium!G$6+'Czech Republic'!G$5+France!G$12+Germany!G$9+Italy!G$9+Spain!G$4+Switzerland!G$8+Netherlands!G$4+Poland!G$7</f>
        <v>358208.74227157427</v>
      </c>
      <c r="H14" s="33">
        <f>Austria!H$10+Belgium!H$6+'Czech Republic'!H$5+France!H$12+Germany!H$9+Italy!H$9+Spain!H$4+Switzerland!H$8+Netherlands!H$4+Poland!H$7</f>
        <v>507365.73295321292</v>
      </c>
      <c r="I14" s="33">
        <f>Austria!I$10+Belgium!I$6+'Czech Republic'!I$5+France!I$12+Germany!I$9+Italy!I$9+Spain!I$4+Switzerland!I$8+Netherlands!I$4+Poland!I$7</f>
        <v>397163.30463450396</v>
      </c>
      <c r="J14" s="33">
        <f>Austria!J$10+Belgium!J$6+'Czech Republic'!J$5+France!J$12+Germany!J$9+Italy!J$9+Spain!J$4+Switzerland!J$8+Netherlands!J$4+Poland!J$7</f>
        <v>472828.30786902312</v>
      </c>
      <c r="K14" s="33">
        <f>Austria!K$10+Belgium!K$6+'Czech Republic'!K$5+France!K$12+Germany!K$9+Italy!K$9+Spain!K$4+Switzerland!K$8+Netherlands!K$4+Poland!K$7</f>
        <v>525959.29142467491</v>
      </c>
      <c r="L14" s="33">
        <f>Austria!L$10+Belgium!L$6+'Czech Republic'!L$5+France!L$12+Germany!L$9+Italy!L$9+Spain!L$4+Switzerland!L$8+Netherlands!L$4+Poland!L$7</f>
        <v>298747.88199999998</v>
      </c>
      <c r="M14" s="33">
        <f>Austria!M$10+Belgium!M$6+'Czech Republic'!M$5+France!M$12+Germany!M$9+Italy!M$9+Spain!M$4+Switzerland!M$8+Netherlands!M$4+Poland!M$7</f>
        <v>573675.61</v>
      </c>
      <c r="N14" s="33">
        <f>Austria!N$10+Belgium!N$6+'Czech Republic'!N$5+France!N$12+Germany!N$9+Italy!N$9+Spain!N$4+Switzerland!N$8+Netherlands!N$4+Poland!N$7</f>
        <v>543635.77346553735</v>
      </c>
      <c r="O14" s="33">
        <f>Austria!O$10+Belgium!O$6+'Czech Republic'!O$5+France!O$12+Germany!O$9+Italy!O$9+Spain!O$4+Switzerland!O$8+Netherlands!O$4+Poland!O$7</f>
        <v>551931.06475425279</v>
      </c>
      <c r="P14" s="33">
        <f>Austria!P$10+Belgium!P$6+'Czech Republic'!P$5+France!P$12+Germany!P$9+Italy!P$9+Spain!P$4+Switzerland!P$8+Netherlands!P$4+Poland!P$7</f>
        <v>508112.42759091075</v>
      </c>
      <c r="Q14" s="33">
        <f>Austria!Q$10+Belgium!Q$6+'Czech Republic'!Q$5+France!Q$12+Germany!Q$9+Italy!Q$9+Spain!Q$4+Switzerland!Q$8+Netherlands!Q$4+Poland!Q$7</f>
        <v>362648.51578373095</v>
      </c>
      <c r="R14" s="33">
        <f>Austria!R$10+Belgium!R$6+'Czech Republic'!R$5+France!R$12+Germany!R$9+Italy!R$9+Spain!R$4+Switzerland!R$8+Netherlands!R$4+Poland!R$7</f>
        <v>504071.84967461764</v>
      </c>
      <c r="S14" s="33">
        <f>Austria!S$10+Belgium!S$6+'Czech Republic'!S$5+France!S$12+Germany!S$9+Italy!S$9+Spain!S$4+Switzerland!S$8+Netherlands!S$4+Poland!S$7</f>
        <v>447178.05535728042</v>
      </c>
      <c r="T14" s="33">
        <f>Austria!T$10+Belgium!T$6+'Czech Republic'!T$5+France!T$12+Germany!T$9+Italy!T$9+Spain!T$4+Switzerland!T$8+Netherlands!T$4+Poland!T$7</f>
        <v>488254.64</v>
      </c>
      <c r="U14" s="59">
        <f>Austria!U$10+Belgium!U$6+'Czech Republic'!U$5+France!U$12+Germany!U$9+Italy!U$9+Spain!U$4+Switzerland!U$8+Netherlands!U$4+Poland!U$7</f>
        <v>432461.6</v>
      </c>
    </row>
    <row r="15" spans="1:22" x14ac:dyDescent="0.25">
      <c r="A15" s="35" t="s">
        <v>17</v>
      </c>
      <c r="B15" s="42">
        <f t="shared" si="0"/>
        <v>0.63045052475980201</v>
      </c>
      <c r="C15" s="104">
        <v>-26234.964757582595</v>
      </c>
      <c r="D15" s="33">
        <v>-21192.316667707026</v>
      </c>
      <c r="E15" s="38">
        <f>Austria!E$11+France!E$14+Italy!E$10+Spain!E$5+Switzerland!E$9+Denmark!E$10</f>
        <v>66028.193800569905</v>
      </c>
      <c r="F15" s="33">
        <f>Austria!F$11+France!F$14+Italy!F$10+Spain!F$5+Switzerland!F$9+Denmark!F$10</f>
        <v>40496.901192568956</v>
      </c>
      <c r="G15" s="33">
        <f>Austria!G$11+France!G$14+Italy!G$10+Spain!G$5+Switzerland!G$9+Denmark!G$10</f>
        <v>51913.936494525457</v>
      </c>
      <c r="H15" s="33">
        <f>Austria!H$11+France!H$14+Italy!H$10+Spain!H$5+Switzerland!H$9+Denmark!H$10</f>
        <v>52237.321511375812</v>
      </c>
      <c r="I15" s="33">
        <f>Austria!I$11+France!I$14+Italy!I$10+Spain!I$5+Switzerland!I$9+Denmark!I$10</f>
        <v>65151.724888585137</v>
      </c>
      <c r="J15" s="33">
        <f>Austria!J$11+France!J$14+Italy!J$10+Spain!J$5+Switzerland!J$9+Denmark!J$10</f>
        <v>49232.481417003015</v>
      </c>
      <c r="K15" s="33">
        <f>Austria!K$11+France!K$14+Italy!K$10+Spain!K$5+Switzerland!K$9+Denmark!K$10</f>
        <v>58552.926061010854</v>
      </c>
      <c r="L15" s="33">
        <f>Austria!L$11+France!L$14+Italy!L$10+Spain!L$5+Switzerland!L$9+Denmark!L$10</f>
        <v>55262.8</v>
      </c>
      <c r="M15" s="33">
        <f>Austria!M$11+France!M$14+Italy!M$10+Spain!M$5+Switzerland!M$9+Denmark!M$10</f>
        <v>43548.264999999999</v>
      </c>
      <c r="N15" s="33">
        <f>Austria!N$11+France!N$14+Italy!N$10+Spain!N$5+Switzerland!N$9+Denmark!N$10</f>
        <v>64073.49161046822</v>
      </c>
      <c r="O15" s="33">
        <f>Austria!O$11+France!O$14+Italy!O$10+Spain!O$5+Switzerland!O$9+Denmark!O$10</f>
        <v>47024.074976946766</v>
      </c>
      <c r="P15" s="33">
        <f>Austria!P$11+France!P$14+Italy!P$10+Spain!P$5+Switzerland!P$9+Denmark!P$10</f>
        <v>50395.071770888928</v>
      </c>
      <c r="Q15" s="33">
        <f>Austria!Q$11+France!Q$14+Italy!Q$10+Spain!Q$5+Switzerland!Q$9+Denmark!Q$10</f>
        <v>18510.972707097513</v>
      </c>
      <c r="R15" s="33">
        <f>Austria!R$11+France!R$14+Italy!R$10+Spain!R$5+Switzerland!R$9+Denmark!R$10</f>
        <v>34688.351480444566</v>
      </c>
      <c r="S15" s="33">
        <f>Austria!S$11+France!S$14+Italy!S$10+Spain!S$5+Switzerland!S$9+Denmark!S$10</f>
        <v>23257.843937410358</v>
      </c>
      <c r="T15" s="33">
        <f>Austria!T$11+France!T$14+Italy!T$10+Spain!T$5+Switzerland!T$9+Denmark!T$10</f>
        <v>25663.040000000001</v>
      </c>
      <c r="U15" s="59">
        <f>Austria!U$11+France!U$14+Italy!U$10+Spain!U$5+Switzerland!U$9+Denmark!U$10</f>
        <v>12250</v>
      </c>
    </row>
    <row r="16" spans="1:22" x14ac:dyDescent="0.25">
      <c r="A16" s="35" t="s">
        <v>15</v>
      </c>
      <c r="B16" s="42" t="str">
        <f t="shared" si="0"/>
        <v/>
      </c>
      <c r="C16" s="104">
        <v>0</v>
      </c>
      <c r="D16" s="33">
        <v>-4</v>
      </c>
      <c r="E16" s="38">
        <f>Denmark!E$11+Germany!E$10</f>
        <v>0</v>
      </c>
      <c r="F16" s="33">
        <f>Denmark!F$11+Germany!F$10</f>
        <v>0</v>
      </c>
      <c r="G16" s="33">
        <f>Denmark!G$11+Germany!G$10</f>
        <v>0</v>
      </c>
      <c r="H16" s="33">
        <f>Denmark!H$11+Germany!H$10</f>
        <v>0</v>
      </c>
      <c r="I16" s="33">
        <f>Denmark!I$11+Germany!I$10</f>
        <v>0</v>
      </c>
      <c r="J16" s="33">
        <f>Denmark!J$11+Germany!J$10</f>
        <v>0</v>
      </c>
      <c r="K16" s="33">
        <f>Denmark!K$11+Germany!K$10</f>
        <v>0</v>
      </c>
      <c r="L16" s="33">
        <f>Denmark!L$11+Germany!L$10</f>
        <v>0</v>
      </c>
      <c r="M16" s="33">
        <f>Denmark!M$11+Germany!M$10</f>
        <v>0</v>
      </c>
      <c r="N16" s="33">
        <f>Denmark!N$11+Germany!N$10</f>
        <v>0</v>
      </c>
      <c r="O16" s="33">
        <f>Denmark!O$11+Germany!O$10</f>
        <v>0</v>
      </c>
      <c r="P16" s="33">
        <f>Denmark!P$11+Germany!P$10</f>
        <v>0</v>
      </c>
      <c r="Q16" s="33">
        <f>Denmark!Q$11+Germany!Q$10</f>
        <v>0</v>
      </c>
      <c r="R16" s="33">
        <f>Denmark!R$11+Germany!R$10</f>
        <v>0</v>
      </c>
      <c r="S16" s="33">
        <f>Denmark!S$11+Germany!S$10</f>
        <v>30</v>
      </c>
      <c r="T16" s="33">
        <f>Denmark!T$11+Germany!T$10</f>
        <v>5</v>
      </c>
      <c r="U16" s="59">
        <f>Denmark!U$11+Germany!U$10</f>
        <v>0</v>
      </c>
    </row>
    <row r="17" spans="1:107" x14ac:dyDescent="0.25">
      <c r="A17" s="35" t="s">
        <v>10</v>
      </c>
      <c r="B17" s="42">
        <f t="shared" si="0"/>
        <v>-0.11423304750253793</v>
      </c>
      <c r="C17" s="104">
        <v>-30669.764648180528</v>
      </c>
      <c r="D17" s="33">
        <v>-31025.659201503608</v>
      </c>
      <c r="E17" s="38">
        <f>Austria!E$12+'Czech Republic'!E$6+Denmark!E$12+France!E$16+Germany!E$11+Italy!E$11+Switzerland!E$10+Poland!E$8</f>
        <v>51411.521937185331</v>
      </c>
      <c r="F17" s="33">
        <f>Austria!F$12+'Czech Republic'!F$6+Denmark!F$12+France!F$16+Germany!F$11+Italy!F$11+Switzerland!F$10+Poland!F$8</f>
        <v>58041.815391992328</v>
      </c>
      <c r="G17" s="33">
        <f>Austria!G$12+'Czech Republic'!G$6+Denmark!G$12+France!G$16+Germany!G$11+Italy!G$11+Switzerland!G$10+Poland!G$8</f>
        <v>87123.223367697588</v>
      </c>
      <c r="H17" s="33">
        <f>Austria!H$12+'Czech Republic'!H$6+Denmark!H$12+France!H$16+Germany!H$11+Italy!H$11+Switzerland!H$10+Poland!H$8</f>
        <v>120540.65537555228</v>
      </c>
      <c r="I17" s="33">
        <f>Austria!I$12+'Czech Republic'!I$6+Denmark!I$12+France!I$16+Germany!I$11+Italy!I$11+Switzerland!I$10+Poland!I$8</f>
        <v>121562.6</v>
      </c>
      <c r="J17" s="33">
        <f>Austria!J$12+'Czech Republic'!J$6+Denmark!J$12+France!J$16+Germany!J$11+Italy!J$11+Switzerland!J$10+Poland!J$8</f>
        <v>56390.520000000004</v>
      </c>
      <c r="K17" s="33">
        <f>Austria!K$12+'Czech Republic'!K$6+Denmark!K$12+France!K$16+Germany!K$11+Italy!K$11+Switzerland!K$10+Poland!K$8</f>
        <v>129846</v>
      </c>
      <c r="L17" s="33">
        <f>Austria!L$12+'Czech Republic'!L$6+Denmark!L$12+France!L$16+Germany!L$11+Italy!L$11+Switzerland!L$10+Poland!L$8</f>
        <v>68377</v>
      </c>
      <c r="M17" s="33">
        <f>Austria!M$12+'Czech Republic'!M$6+Denmark!M$12+France!M$16+Germany!M$11+Italy!M$11+Switzerland!M$10+Poland!M$8</f>
        <v>114048.01</v>
      </c>
      <c r="N17" s="33">
        <f>Austria!N$12+'Czech Republic'!N$6+Denmark!N$12+France!N$16+Germany!N$11+Italy!N$11+Switzerland!N$10+Poland!N$8</f>
        <v>140206.59</v>
      </c>
      <c r="O17" s="33">
        <f>Austria!O$12+'Czech Republic'!O$6+Denmark!O$12+France!O$16+Germany!O$11+Italy!O$11+Switzerland!O$10+Poland!O$8</f>
        <v>83461.31</v>
      </c>
      <c r="P17" s="33">
        <f>Austria!P$12+'Czech Republic'!P$6+Denmark!P$12+France!P$16+Germany!P$11+Italy!P$11+Switzerland!P$10+Poland!P$8</f>
        <v>105830.43</v>
      </c>
      <c r="Q17" s="33">
        <f>Austria!Q$12+'Czech Republic'!Q$6+Denmark!Q$12+France!Q$16+Germany!Q$11+Italy!Q$11+Switzerland!Q$10+Poland!Q$8</f>
        <v>84615</v>
      </c>
      <c r="R17" s="33">
        <f>Austria!R$12+'Czech Republic'!R$6+Denmark!R$12+France!R$16+Germany!R$11+Italy!R$11+Switzerland!R$10+Poland!R$8</f>
        <v>88715</v>
      </c>
      <c r="S17" s="33">
        <f>Austria!S$12+'Czech Republic'!S$6+Denmark!S$12+France!S$16+Germany!S$11+Italy!S$11+Switzerland!S$10+Poland!S$8</f>
        <v>45416</v>
      </c>
      <c r="T17" s="33">
        <f>Austria!T$12+'Czech Republic'!T$6+Denmark!T$12+France!T$16+Germany!T$11+Italy!T$11+Switzerland!T$10+Poland!T$8</f>
        <v>87069.06</v>
      </c>
      <c r="U17" s="59">
        <f>Austria!U$12+'Czech Republic'!U$6+Denmark!U$12+France!U$16+Germany!U$11+Italy!U$11+Switzerland!U$10+Poland!U$8</f>
        <v>64068</v>
      </c>
      <c r="V17" s="1"/>
    </row>
    <row r="18" spans="1:107" x14ac:dyDescent="0.25">
      <c r="A18" s="35" t="s">
        <v>26</v>
      </c>
      <c r="B18" s="42">
        <f t="shared" si="0"/>
        <v>-0.12253151713313948</v>
      </c>
      <c r="C18" s="104">
        <v>-19384.907004605237</v>
      </c>
      <c r="D18" s="33">
        <v>-21788.701361265077</v>
      </c>
      <c r="E18" s="38">
        <f>Austria!E$13+Belgium!E$7+'Czech Republic'!E$7+Denmark!E$13+France!E$18+Germany!E$13+Italy!E$12+Switzerland!E$11+Netherlands!E$5+UK!E$7+Poland!E$9</f>
        <v>54387.01618905169</v>
      </c>
      <c r="F18" s="33">
        <f>Austria!F$13+Belgium!F$7+'Czech Republic'!F$7+Denmark!F$13+France!F$18+Germany!F$13+Italy!F$12+Switzerland!F$11+Netherlands!F$5+UK!F$7+Poland!F$9</f>
        <v>61981.731823983821</v>
      </c>
      <c r="G18" s="33">
        <f>Austria!G$13+Belgium!G$7+'Czech Republic'!G$7+Denmark!G$13+France!G$18+Germany!G$13+Italy!G$12+Switzerland!G$11+Netherlands!G$5+UK!G$7+Poland!G$9</f>
        <v>73009.920422189491</v>
      </c>
      <c r="H18" s="33">
        <f>Austria!H$13+Belgium!H$7+'Czech Republic'!H$7+Denmark!H$13+France!H$18+Germany!H$13+Italy!H$12+Switzerland!H$11+Netherlands!H$5+UK!H$7+Poland!H$9</f>
        <v>121833.26269023072</v>
      </c>
      <c r="I18" s="33">
        <f>Austria!I$13+Belgium!I$7+'Czech Republic'!I$7+Denmark!I$13+France!I$18+Germany!I$13+Italy!I$12+Switzerland!I$11+Netherlands!I$5+UK!I$7+Poland!I$9</f>
        <v>81391.771417926997</v>
      </c>
      <c r="J18" s="33">
        <f>Austria!J$13+Belgium!J$7+'Czech Republic'!J$7+Denmark!J$13+France!J$18+Germany!J$13+Italy!J$12+Switzerland!J$11+Netherlands!J$5+UK!J$7+Poland!J$9</f>
        <v>81429.760000000009</v>
      </c>
      <c r="K18" s="33">
        <f>Austria!K$13+Belgium!K$7+'Czech Republic'!K$7+Denmark!K$13+France!K$18+Germany!K$13+Italy!K$12+Switzerland!K$11+Netherlands!K$5+UK!K$7+Poland!K$9</f>
        <v>109796.6268</v>
      </c>
      <c r="L18" s="33">
        <f>Austria!L$13+Belgium!L$7+'Czech Republic'!L$7+Denmark!L$13+France!L$18+Germany!L$13+Italy!L$12+Switzerland!L$11+Netherlands!L$5+UK!L$7+Poland!L$9</f>
        <v>41981.937000000005</v>
      </c>
      <c r="M18" s="33">
        <f>Austria!M$13+Belgium!M$7+'Czech Republic'!M$7+Denmark!M$13+France!M$18+Germany!M$13+Italy!M$12+Switzerland!M$11+Netherlands!M$5+UK!M$7+Poland!M$9</f>
        <v>110138.18</v>
      </c>
      <c r="N18" s="33">
        <f>Austria!N$13+Belgium!N$7+'Czech Republic'!N$7+Denmark!N$13+France!N$18+Germany!N$13+Italy!N$12+Switzerland!N$11+Netherlands!N$5+UK!N$7+Poland!N$9</f>
        <v>131567.1</v>
      </c>
      <c r="O18" s="33">
        <f>Austria!O$13+Belgium!O$7+'Czech Republic'!O$7+Denmark!O$13+France!O$18+Germany!O$13+Italy!O$12+Switzerland!O$11+Netherlands!O$5+UK!O$7+Poland!O$9</f>
        <v>136033.47</v>
      </c>
      <c r="P18" s="33">
        <f>Austria!P$13+Belgium!P$7+'Czech Republic'!P$7+Denmark!P$13+France!P$18+Germany!P$13+Italy!P$12+Switzerland!P$11+Netherlands!P$5+UK!P$7+Poland!P$9</f>
        <v>120665.58</v>
      </c>
      <c r="Q18" s="33">
        <f>Austria!Q$13+Belgium!Q$7+'Czech Republic'!Q$7+Denmark!Q$13+France!Q$18+Germany!Q$13+Italy!Q$12+Switzerland!Q$11+Netherlands!Q$5+UK!Q$7+Poland!Q$9</f>
        <v>97870</v>
      </c>
      <c r="R18" s="33">
        <f>Austria!R$13+Belgium!R$7+'Czech Republic'!R$7+Denmark!R$13+France!R$18+Germany!R$13+Italy!R$12+Switzerland!R$11+Netherlands!R$5+UK!R$7+Poland!R$9</f>
        <v>142996</v>
      </c>
      <c r="S18" s="33">
        <f>Austria!S$13+Belgium!S$7+'Czech Republic'!S$7+Denmark!S$13+France!S$18+Germany!S$13+Italy!S$12+Switzerland!S$11+Netherlands!S$5+UK!S$7+Poland!S$9</f>
        <v>96459</v>
      </c>
      <c r="T18" s="33">
        <f>Austria!T$13+Belgium!T$7+'Czech Republic'!T$7+Denmark!T$13+France!T$18+Germany!T$13+Italy!T$12+Switzerland!T$11+Netherlands!T$5+UK!T$7+Poland!T$9</f>
        <v>172572.89</v>
      </c>
      <c r="U18" s="59">
        <f>Austria!U$13+Belgium!U$7+'Czech Republic'!U$7+Denmark!U$13+France!U$18+Germany!U$13+Italy!U$12+Switzerland!U$11+Netherlands!U$5+UK!U$7+Poland!U$9</f>
        <v>183749</v>
      </c>
      <c r="V18" s="1"/>
    </row>
    <row r="19" spans="1:107" x14ac:dyDescent="0.25">
      <c r="A19" s="35" t="s">
        <v>25</v>
      </c>
      <c r="B19" s="42">
        <f t="shared" si="0"/>
        <v>-6.4592235598412068E-2</v>
      </c>
      <c r="C19" s="104">
        <v>-5550.5698593445886</v>
      </c>
      <c r="D19" s="33">
        <v>-5679.2745858120143</v>
      </c>
      <c r="E19" s="38">
        <f>Austria!E$14+Belgium!E$8+Denmark!E$14+Germany!E$14+UK!E$8</f>
        <v>10713.084806813415</v>
      </c>
      <c r="F19" s="33">
        <f>Austria!F$14+Belgium!F$8+Denmark!F$14+Germany!F$14+UK!F$8</f>
        <v>11452.849991754065</v>
      </c>
      <c r="G19" s="33">
        <f>Austria!G$14+Belgium!G$8+Denmark!G$14+Germany!G$14+UK!G$8</f>
        <v>15526</v>
      </c>
      <c r="H19" s="33">
        <f>Austria!H$14+Belgium!H$8+Denmark!H$14+Germany!H$14+UK!H$8</f>
        <v>32366</v>
      </c>
      <c r="I19" s="33">
        <f>Austria!I$14+Belgium!I$8+Denmark!I$14+Germany!I$14+UK!I$8</f>
        <v>22712.288046215188</v>
      </c>
      <c r="J19" s="33">
        <f>Austria!J$14+Belgium!J$8+Denmark!J$14+Germany!J$14+UK!J$8</f>
        <v>35950</v>
      </c>
      <c r="K19" s="33">
        <f>Austria!K$14+Belgium!K$8+Denmark!K$14+Germany!K$14+UK!K$8</f>
        <v>49058</v>
      </c>
      <c r="L19" s="33">
        <f>Austria!L$14+Belgium!L$8+Denmark!L$14+Germany!L$14+UK!L$8</f>
        <v>8279</v>
      </c>
      <c r="M19" s="33">
        <f>Austria!M$14+Belgium!M$8+Denmark!M$14+Germany!M$14+UK!M$8</f>
        <v>42652</v>
      </c>
      <c r="N19" s="33">
        <f>Austria!N$14+Belgium!N$8+Denmark!N$14+Germany!N$14+UK!N$8</f>
        <v>45672.28</v>
      </c>
      <c r="O19" s="33">
        <f>Austria!O$14+Belgium!O$8+Denmark!O$14+Germany!O$14+UK!O$8</f>
        <v>54770.080000000002</v>
      </c>
      <c r="P19" s="33">
        <f>Austria!P$14+Belgium!P$8+Denmark!P$14+Germany!P$14+UK!P$8</f>
        <v>34404.839999999997</v>
      </c>
      <c r="Q19" s="33">
        <f>Austria!Q$14+Belgium!Q$8+Denmark!Q$14+Germany!Q$14+UK!Q$8</f>
        <v>42432</v>
      </c>
      <c r="R19" s="33">
        <f>Austria!R$14+Belgium!R$8+Denmark!R$14+Germany!R$14+UK!R$8</f>
        <v>50884</v>
      </c>
      <c r="S19" s="33">
        <f>Austria!S$14+Belgium!S$8+Denmark!S$14+Germany!S$14+UK!S$8</f>
        <v>32530</v>
      </c>
      <c r="T19" s="33">
        <f>Austria!T$14+Belgium!T$8+Denmark!T$14+Germany!T$14+UK!T$8</f>
        <v>49181</v>
      </c>
      <c r="U19" s="59">
        <f>Austria!U$14+Belgium!U$8+Denmark!U$14+Germany!U$14+UK!U$8</f>
        <v>48534</v>
      </c>
    </row>
    <row r="20" spans="1:107" x14ac:dyDescent="0.25">
      <c r="A20" s="35" t="s">
        <v>48</v>
      </c>
      <c r="B20" s="120" t="str">
        <f t="shared" si="0"/>
        <v/>
      </c>
      <c r="C20" s="121">
        <v>0</v>
      </c>
      <c r="D20" s="33">
        <v>0</v>
      </c>
      <c r="E20" s="38">
        <f>Italy!E$13</f>
        <v>0</v>
      </c>
      <c r="F20" s="33">
        <f>Italy!F$13</f>
        <v>0</v>
      </c>
      <c r="G20" s="33">
        <f>Italy!G$13</f>
        <v>0</v>
      </c>
      <c r="H20" s="33">
        <f>Italy!H$13</f>
        <v>0</v>
      </c>
      <c r="I20" s="33">
        <f>Italy!I$13</f>
        <v>0</v>
      </c>
      <c r="J20" s="33">
        <f>Italy!J$13</f>
        <v>0</v>
      </c>
      <c r="K20" s="33">
        <f>Italy!K$13</f>
        <v>0</v>
      </c>
      <c r="L20" s="33">
        <f>Italy!L$13</f>
        <v>0</v>
      </c>
      <c r="M20" s="33">
        <f>Italy!M$13</f>
        <v>0</v>
      </c>
      <c r="N20" s="33">
        <f>Italy!N$13</f>
        <v>0</v>
      </c>
      <c r="O20" s="33">
        <f>Italy!O$13</f>
        <v>5</v>
      </c>
      <c r="P20" s="33">
        <f>Italy!P$13</f>
        <v>0</v>
      </c>
      <c r="Q20" s="33">
        <f>Italy!Q$13</f>
        <v>0</v>
      </c>
      <c r="R20" s="33">
        <f>Italy!R$13</f>
        <v>0</v>
      </c>
      <c r="S20" s="33">
        <f>Italy!S$13</f>
        <v>0</v>
      </c>
      <c r="T20" s="33">
        <f>Italy!T$13</f>
        <v>2</v>
      </c>
      <c r="U20" s="59">
        <f>Italy!U$13</f>
        <v>0</v>
      </c>
    </row>
    <row r="21" spans="1:107" x14ac:dyDescent="0.25">
      <c r="A21" s="35" t="s">
        <v>33</v>
      </c>
      <c r="B21" s="42" t="str">
        <f t="shared" si="0"/>
        <v/>
      </c>
      <c r="C21" s="104">
        <v>0</v>
      </c>
      <c r="D21" s="33">
        <v>0</v>
      </c>
      <c r="E21" s="38">
        <f>Poland!E$11</f>
        <v>0</v>
      </c>
      <c r="F21" s="33">
        <f>Poland!F$11</f>
        <v>0</v>
      </c>
      <c r="G21" s="33">
        <f>Poland!G$11</f>
        <v>0</v>
      </c>
      <c r="H21" s="33">
        <f>Poland!H$11</f>
        <v>0</v>
      </c>
      <c r="I21" s="33">
        <f>Poland!I$11</f>
        <v>0</v>
      </c>
      <c r="J21" s="33">
        <f>Poland!J$11</f>
        <v>0</v>
      </c>
      <c r="K21" s="33">
        <f>Poland!K$11</f>
        <v>0</v>
      </c>
      <c r="L21" s="33">
        <f>Poland!L$11</f>
        <v>0</v>
      </c>
      <c r="M21" s="33">
        <f>Poland!M$11</f>
        <v>0</v>
      </c>
      <c r="N21" s="33">
        <f>Poland!N$11</f>
        <v>0</v>
      </c>
      <c r="O21" s="33">
        <f>Poland!O$11</f>
        <v>0</v>
      </c>
      <c r="P21" s="33">
        <f>Poland!P$11</f>
        <v>0</v>
      </c>
      <c r="Q21" s="33">
        <f>Poland!Q$11</f>
        <v>0</v>
      </c>
      <c r="R21" s="33">
        <f>Poland!R$11</f>
        <v>0</v>
      </c>
      <c r="S21" s="33">
        <f>Poland!S$11</f>
        <v>3000</v>
      </c>
      <c r="T21" s="33">
        <f>Poland!T$11</f>
        <v>10000</v>
      </c>
      <c r="U21" s="59">
        <f>Poland!U$11</f>
        <v>3000</v>
      </c>
    </row>
    <row r="22" spans="1:107" x14ac:dyDescent="0.25">
      <c r="A22" s="35" t="s">
        <v>18</v>
      </c>
      <c r="B22" s="42">
        <f t="shared" si="0"/>
        <v>5.8826118234619916E-3</v>
      </c>
      <c r="C22" s="104">
        <v>-1465.2228571428573</v>
      </c>
      <c r="D22" s="33">
        <v>-1527.7303000000002</v>
      </c>
      <c r="E22" s="38">
        <f>Italy!E$14</f>
        <v>3213.1961428571426</v>
      </c>
      <c r="F22" s="33">
        <f>Italy!F$14</f>
        <v>3194.4047</v>
      </c>
      <c r="G22" s="33">
        <f>Italy!G$14</f>
        <v>3378.0060000000003</v>
      </c>
      <c r="H22" s="33">
        <f>Italy!H$14</f>
        <v>4910.2757020686349</v>
      </c>
      <c r="I22" s="33">
        <f>Italy!I$14</f>
        <v>5959.08</v>
      </c>
      <c r="J22" s="33">
        <f>Italy!J$14</f>
        <v>3246.55</v>
      </c>
      <c r="K22" s="33">
        <f>Italy!K$14</f>
        <v>6402.4100000000008</v>
      </c>
      <c r="L22" s="33">
        <f>Italy!L$14</f>
        <v>928.4</v>
      </c>
      <c r="M22" s="33">
        <f>Italy!M$14</f>
        <v>5637.53</v>
      </c>
      <c r="N22" s="33">
        <f>Italy!N$14</f>
        <v>6947.24</v>
      </c>
      <c r="O22" s="33">
        <f>Italy!O$14</f>
        <v>9321</v>
      </c>
      <c r="P22" s="33">
        <f>Italy!P$14</f>
        <v>7561</v>
      </c>
      <c r="Q22" s="33">
        <f>Italy!Q$14</f>
        <v>6315</v>
      </c>
      <c r="R22" s="33">
        <f>Italy!R$14</f>
        <v>4126</v>
      </c>
      <c r="S22" s="33">
        <f>Italy!S$14</f>
        <v>8511</v>
      </c>
      <c r="T22" s="33">
        <f>Italy!T$14</f>
        <v>5431.25</v>
      </c>
      <c r="U22" s="59">
        <f>Italy!U$14</f>
        <v>14997.7</v>
      </c>
    </row>
    <row r="23" spans="1:107" x14ac:dyDescent="0.25">
      <c r="A23" s="35" t="s">
        <v>13</v>
      </c>
      <c r="B23" s="42">
        <f t="shared" si="0"/>
        <v>-0.13854714297981754</v>
      </c>
      <c r="C23" s="104">
        <v>-10743.29926262053</v>
      </c>
      <c r="D23" s="33">
        <v>-22931.17760226925</v>
      </c>
      <c r="E23" s="38">
        <f>Austria!E$16+Denmark!E$17+Germany!E$15+Switzerland!E$14+Poland!E$12+Italy!E$15</f>
        <v>25783.214883720932</v>
      </c>
      <c r="F23" s="33">
        <f>Austria!F$16+Denmark!F$17+Germany!F$15+Switzerland!F$14+Poland!F$12+Italy!F$15</f>
        <v>29929.919755454328</v>
      </c>
      <c r="G23" s="33">
        <f>Austria!G$16+Denmark!G$17+Germany!G$15+Switzerland!G$14+Poland!G$12+Italy!G$15</f>
        <v>37529.372017673049</v>
      </c>
      <c r="H23" s="33">
        <f>Austria!H$16+Denmark!H$17+Germany!H$15+Switzerland!H$14+Poland!H$12+Italy!H$15</f>
        <v>33911.461462935687</v>
      </c>
      <c r="I23" s="33">
        <f>Austria!I$16+Denmark!I$17+Germany!I$15+Switzerland!I$14+Poland!I$12+Italy!I$15</f>
        <v>25089.699999999997</v>
      </c>
      <c r="J23" s="33">
        <f>Austria!J$16+Denmark!J$17+Germany!J$15+Switzerland!J$14+Poland!J$12+Italy!J$15</f>
        <v>15280.539999999999</v>
      </c>
      <c r="K23" s="33">
        <f>Austria!K$16+Denmark!K$17+Germany!K$15+Switzerland!K$14+Poland!K$12+Italy!K$15</f>
        <v>21176</v>
      </c>
      <c r="L23" s="33">
        <f>Austria!L$16+Denmark!L$17+Germany!L$15+Switzerland!L$14+Poland!L$12+Italy!L$15</f>
        <v>1611</v>
      </c>
      <c r="M23" s="33">
        <f>Austria!M$16+Denmark!M$17+Germany!M$15+Switzerland!M$14+Poland!M$12+Italy!M$15</f>
        <v>5184.13</v>
      </c>
      <c r="N23" s="33">
        <f>Austria!N$16+Denmark!N$17+Germany!N$15+Switzerland!N$14+Poland!N$12+Italy!N$15</f>
        <v>6856.82</v>
      </c>
      <c r="O23" s="33">
        <f>Austria!O$16+Denmark!O$17+Germany!O$15+Switzerland!O$14+Poland!O$12+Italy!O$15</f>
        <v>6715.77</v>
      </c>
      <c r="P23" s="33">
        <f>Austria!P$16+Denmark!P$17+Germany!P$15+Switzerland!P$14+Poland!P$12+Italy!P$15</f>
        <v>4710.29</v>
      </c>
      <c r="Q23" s="33">
        <f>Austria!Q$16+Denmark!Q$17+Germany!Q$15+Switzerland!Q$14+Poland!Q$12+Italy!Q$15</f>
        <v>3646</v>
      </c>
      <c r="R23" s="33">
        <f>Austria!R$16+Denmark!R$17+Germany!R$15+Switzerland!R$14+Poland!R$12+Italy!R$15</f>
        <v>3716</v>
      </c>
      <c r="S23" s="33">
        <f>Austria!S$16+Denmark!S$17+Germany!S$15+Switzerland!S$14+Poland!S$12+Italy!S$15</f>
        <v>3776</v>
      </c>
      <c r="T23" s="33">
        <f>Austria!T$16+Denmark!T$17+Germany!T$15+Switzerland!T$14+Poland!T$12+Italy!T$15</f>
        <v>3518</v>
      </c>
      <c r="U23" s="59">
        <f>Austria!U$16+Denmark!U$17+Germany!U$15+Switzerland!U$14+Poland!U$12+Italy!U$15</f>
        <v>2682</v>
      </c>
    </row>
    <row r="24" spans="1:107" x14ac:dyDescent="0.25">
      <c r="A24" s="35" t="s">
        <v>19</v>
      </c>
      <c r="B24" s="42">
        <f t="shared" si="0"/>
        <v>0.10785029912003129</v>
      </c>
      <c r="C24" s="104">
        <v>-26792.04789147753</v>
      </c>
      <c r="D24" s="33">
        <v>-22979.771204236007</v>
      </c>
      <c r="E24" s="38">
        <f>'Czech Republic'!E$8+France!E$19+Italy!E$16+Spain!E$6+Poland!E$13</f>
        <v>28063.019956063938</v>
      </c>
      <c r="F24" s="33">
        <f>'Czech Republic'!F$8+France!F$19+Italy!F$16+Spain!F$6+Poland!F$13</f>
        <v>25331.057795763991</v>
      </c>
      <c r="G24" s="33">
        <f>'Czech Republic'!G$8+France!G$19+Italy!G$16+Spain!G$6+Poland!G$13</f>
        <v>40813.833650380213</v>
      </c>
      <c r="H24" s="33">
        <f>'Czech Republic'!H$8+France!H$19+Italy!H$16+Spain!H$6+Poland!H$13</f>
        <v>44680.098745454452</v>
      </c>
      <c r="I24" s="33">
        <f>'Czech Republic'!I$8+France!I$19+Italy!I$16+Spain!I$6+Poland!I$13</f>
        <v>52381.243031004473</v>
      </c>
      <c r="J24" s="33">
        <f>'Czech Republic'!J$8+France!J$19+Italy!J$16+Spain!J$6+Poland!J$13</f>
        <v>35407.065319102665</v>
      </c>
      <c r="K24" s="33">
        <f>'Czech Republic'!K$8+France!K$19+Italy!K$16+Spain!K$6+Poland!K$13</f>
        <v>47536.647260174323</v>
      </c>
      <c r="L24" s="33">
        <f>'Czech Republic'!L$8+France!L$19+Italy!L$16+Spain!L$6+Poland!L$13</f>
        <v>24255.610000000004</v>
      </c>
      <c r="M24" s="33">
        <f>'Czech Republic'!M$8+France!M$19+Italy!M$16+Spain!M$6+Poland!M$13</f>
        <v>47746.15</v>
      </c>
      <c r="N24" s="33">
        <f>'Czech Republic'!N$8+France!N$19+Italy!N$16+Spain!N$6+Poland!N$13</f>
        <v>44540.886568167756</v>
      </c>
      <c r="O24" s="33">
        <f>'Czech Republic'!O$8+France!O$19+Italy!O$16+Spain!O$6+Poland!O$13</f>
        <v>36224.054133612073</v>
      </c>
      <c r="P24" s="33">
        <f>'Czech Republic'!P$8+France!P$19+Italy!P$16+Spain!P$6+Poland!P$13</f>
        <v>38984.862614464379</v>
      </c>
      <c r="Q24" s="33">
        <f>'Czech Republic'!Q$8+France!Q$19+Italy!Q$16+Spain!Q$6+Poland!Q$13</f>
        <v>23599.628347781807</v>
      </c>
      <c r="R24" s="33">
        <f>'Czech Republic'!R$8+France!R$19+Italy!R$16+Spain!R$6+Poland!R$13</f>
        <v>25459.076300964258</v>
      </c>
      <c r="S24" s="33">
        <f>'Czech Republic'!S$8+France!S$19+Italy!S$16+Spain!S$6+Poland!S$13</f>
        <v>22932.220679528953</v>
      </c>
      <c r="T24" s="33">
        <f>'Czech Republic'!T$8+France!T$19+Italy!T$16+Spain!T$6+Poland!T$13</f>
        <v>42511.66</v>
      </c>
      <c r="U24" s="59">
        <f>'Czech Republic'!U$8+France!U$19+Italy!U$16+Spain!U$6+Poland!U$13</f>
        <v>31256.5</v>
      </c>
    </row>
    <row r="25" spans="1:107" x14ac:dyDescent="0.25">
      <c r="A25" s="35" t="s">
        <v>132</v>
      </c>
      <c r="B25" s="42">
        <f t="shared" si="0"/>
        <v>-9.8172516658959139E-2</v>
      </c>
      <c r="C25" s="104">
        <v>-29937.633502620694</v>
      </c>
      <c r="D25" s="33">
        <v>-40744.120202306658</v>
      </c>
      <c r="E25" s="38">
        <f>Germany!E$16+Austria!E$17+Poland!E$14</f>
        <v>81216.108367298002</v>
      </c>
      <c r="F25" s="33">
        <f>Germany!F$16+Austria!F$17+Poland!F$14</f>
        <v>90057.255813953496</v>
      </c>
      <c r="G25" s="33">
        <f>Germany!G$16+Austria!G$17+Poland!G$14</f>
        <v>125273.23760432008</v>
      </c>
      <c r="H25" s="33">
        <f>Germany!H$16+Austria!H$17+Poland!H$14</f>
        <v>116270.60677466863</v>
      </c>
      <c r="I25" s="33">
        <f>Germany!I$16+Austria!I$17+Poland!I$14</f>
        <v>70204.600000000006</v>
      </c>
      <c r="J25" s="33">
        <f>Germany!J$16+Austria!J$17+Poland!J$14</f>
        <v>46860.740000000005</v>
      </c>
      <c r="K25" s="33">
        <f>Germany!K$16+Austria!K$17+Poland!K$14</f>
        <v>58779</v>
      </c>
      <c r="L25" s="33">
        <f>Germany!L$16+Austria!L$17+Poland!L$14</f>
        <v>20649</v>
      </c>
      <c r="M25" s="33">
        <f>Germany!M$16+Austria!M$17+Poland!M$14</f>
        <v>37015</v>
      </c>
      <c r="N25" s="33">
        <f>Germany!N$16+Austria!N$17+Poland!N$14</f>
        <v>22485</v>
      </c>
      <c r="O25" s="33">
        <f>Germany!O$16+Austria!O$17+Poland!O$14</f>
        <v>16280</v>
      </c>
      <c r="P25" s="33">
        <f>Germany!P$16+Austria!P$17+Poland!P$14</f>
        <v>10256</v>
      </c>
      <c r="Q25" s="33">
        <f>Germany!Q$16+Austria!Q$17+Poland!Q$14</f>
        <v>12669</v>
      </c>
      <c r="R25" s="33">
        <f>Germany!R$16+Austria!R$17+Poland!R$14</f>
        <v>9733</v>
      </c>
      <c r="S25" s="33">
        <f>Germany!S$16+Austria!S$17+Poland!S$14</f>
        <v>5164</v>
      </c>
      <c r="T25" s="33">
        <f>Germany!T$16+Austria!T$17+Poland!T$14</f>
        <v>8667</v>
      </c>
      <c r="U25" s="59">
        <f>Germany!U$16+Austria!U$17+Poland!U$14</f>
        <v>6244</v>
      </c>
    </row>
    <row r="26" spans="1:107" s="4" customFormat="1" ht="13.8" thickBot="1" x14ac:dyDescent="0.3">
      <c r="A26" s="35" t="s">
        <v>121</v>
      </c>
      <c r="B26" s="42">
        <f t="shared" si="0"/>
        <v>1.8527629732408324</v>
      </c>
      <c r="C26" s="104">
        <v>-7427.3733999999986</v>
      </c>
      <c r="D26" s="33">
        <v>-5744</v>
      </c>
      <c r="E26" s="38">
        <f>France!E$21+France!E$20+Italy!E$17+Switzerland!E$12</f>
        <v>14392.189199999999</v>
      </c>
      <c r="F26" s="33">
        <f>France!F$21+France!F$20+Italy!F$17+Switzerland!F$12</f>
        <v>5045</v>
      </c>
      <c r="G26" s="33">
        <f>France!G$21+France!G$20+Italy!G$17+Switzerland!G$12</f>
        <v>10668</v>
      </c>
      <c r="H26" s="33">
        <f>France!H$21+France!H$20+Italy!H$17+Switzerland!H$12</f>
        <v>12127</v>
      </c>
      <c r="I26" s="33">
        <f>France!I$21+France!I$20+Italy!I$17+Switzerland!I$12</f>
        <v>10181</v>
      </c>
      <c r="J26" s="33">
        <f>France!J$21+France!J$20+Italy!J$17+Switzerland!J$12</f>
        <v>5599.3</v>
      </c>
      <c r="K26" s="33">
        <f>France!K$21+France!K$20+Italy!K$17+Switzerland!K$12</f>
        <v>13166</v>
      </c>
      <c r="L26" s="33">
        <f>France!L$21+France!L$20+Italy!L$17+Switzerland!L$12</f>
        <v>1570</v>
      </c>
      <c r="M26" s="33">
        <f>France!M$21+France!M$20+Italy!M$17+Switzerland!M$12</f>
        <v>9022.2999999999993</v>
      </c>
      <c r="N26" s="33">
        <f>France!N$21+France!N$20+Italy!N$17+Switzerland!N$12</f>
        <v>9753</v>
      </c>
      <c r="O26" s="33">
        <f>France!O$21+France!O$20+Italy!O$17+Switzerland!O$12</f>
        <v>7364</v>
      </c>
      <c r="P26" s="33">
        <f>France!P$21+France!P$20+Italy!P$17+Switzerland!P$12</f>
        <v>17151</v>
      </c>
      <c r="Q26" s="33">
        <f>France!Q$21+France!Q$20+Italy!Q$17+Switzerland!Q$12</f>
        <v>2087</v>
      </c>
      <c r="R26" s="33">
        <f>France!R$21+France!R$20+Italy!R$17+Switzerland!R$12</f>
        <v>11394</v>
      </c>
      <c r="S26" s="33">
        <f>France!S$21+France!S$20+Italy!S$17+Switzerland!S$12</f>
        <v>8739</v>
      </c>
      <c r="T26" s="33">
        <f>France!T$21+France!T$20+Italy!T$17+Switzerland!T$12</f>
        <v>8383</v>
      </c>
      <c r="U26" s="59">
        <f>France!U$21+France!U$20+Italy!U$17+Switzerland!U$12</f>
        <v>199</v>
      </c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</row>
    <row r="27" spans="1:107" x14ac:dyDescent="0.25">
      <c r="A27" s="35" t="s">
        <v>88</v>
      </c>
      <c r="B27" s="42">
        <f>IFERROR(((E27-F27)/F27),"")</f>
        <v>-0.2530612244897959</v>
      </c>
      <c r="C27" s="104">
        <v>-20010</v>
      </c>
      <c r="D27" s="33">
        <v>-15033</v>
      </c>
      <c r="E27" s="38">
        <f>'Czech Republic'!E$9+Germany!E$17+Poland!E$15</f>
        <v>15006</v>
      </c>
      <c r="F27" s="33">
        <f>'Czech Republic'!F$9+Germany!F$17+Poland!F$15</f>
        <v>20090</v>
      </c>
      <c r="G27" s="33">
        <f>'Czech Republic'!G$9+Germany!G$17+Poland!G$15</f>
        <v>25017</v>
      </c>
      <c r="H27" s="33">
        <f>'Czech Republic'!H$9+Germany!H$17+Poland!H$15</f>
        <v>40286</v>
      </c>
      <c r="I27" s="33">
        <f>'Czech Republic'!I$9+Germany!I$17+Poland!I$15</f>
        <v>35702</v>
      </c>
      <c r="J27" s="33">
        <f>'Czech Republic'!J$9+Germany!J$17+Poland!J$15</f>
        <v>15004</v>
      </c>
      <c r="K27" s="33">
        <f>'Czech Republic'!K$9+Germany!K$17+Poland!K$15</f>
        <v>70377</v>
      </c>
      <c r="L27" s="33">
        <f>'Czech Republic'!L$9+Germany!L$17+Poland!L$15</f>
        <v>15048</v>
      </c>
      <c r="M27" s="33">
        <f>'Czech Republic'!M$9+Germany!M$17+Poland!M$15</f>
        <v>25100</v>
      </c>
      <c r="N27" s="33">
        <f>'Czech Republic'!N$9+Germany!N$17+Poland!N$15</f>
        <v>30569</v>
      </c>
      <c r="O27" s="33">
        <f>'Czech Republic'!O$9+Germany!O$17+Poland!O$15</f>
        <v>35216</v>
      </c>
      <c r="P27" s="33">
        <f>'Czech Republic'!P$9+Germany!P$17+Poland!P$15</f>
        <v>40059</v>
      </c>
      <c r="Q27" s="33">
        <f>'Czech Republic'!Q$9+Germany!Q$17+Poland!Q$15</f>
        <v>20238</v>
      </c>
      <c r="R27" s="33">
        <f>'Czech Republic'!R$9+Germany!R$17+Poland!R$15</f>
        <v>20348</v>
      </c>
      <c r="S27" s="33">
        <f>'Czech Republic'!S$9+Germany!S$17+Poland!S$15</f>
        <v>5019</v>
      </c>
      <c r="T27" s="33">
        <f>'Czech Republic'!T$9+Germany!T$17+Poland!T$15</f>
        <v>5051</v>
      </c>
      <c r="U27" s="59">
        <f>'Czech Republic'!U$9+Germany!U$17+Poland!U$15</f>
        <v>5051</v>
      </c>
    </row>
    <row r="28" spans="1:107" x14ac:dyDescent="0.25">
      <c r="A28" s="35" t="s">
        <v>21</v>
      </c>
      <c r="B28" s="42" t="str">
        <f t="shared" si="0"/>
        <v/>
      </c>
      <c r="C28" s="104">
        <v>0</v>
      </c>
      <c r="D28" s="33">
        <v>0</v>
      </c>
      <c r="E28" s="38">
        <f>Italy!E$18</f>
        <v>0</v>
      </c>
      <c r="F28" s="33">
        <f>Italy!F$18</f>
        <v>0</v>
      </c>
      <c r="G28" s="33">
        <f>Italy!G$18</f>
        <v>0</v>
      </c>
      <c r="H28" s="33">
        <f>Italy!H$18</f>
        <v>0</v>
      </c>
      <c r="I28" s="33">
        <f>Italy!I$18</f>
        <v>0</v>
      </c>
      <c r="J28" s="33">
        <f>Italy!J$18</f>
        <v>0</v>
      </c>
      <c r="K28" s="33">
        <f>Italy!K$18</f>
        <v>400</v>
      </c>
      <c r="L28" s="33">
        <f>Italy!L$18</f>
        <v>245.8</v>
      </c>
      <c r="M28" s="33">
        <f>Italy!M$18</f>
        <v>2989.3</v>
      </c>
      <c r="N28" s="33">
        <f>Italy!N$18</f>
        <v>4465.6000000000004</v>
      </c>
      <c r="O28" s="33">
        <f>Italy!O$18</f>
        <v>3756</v>
      </c>
      <c r="P28" s="33">
        <f>Italy!P$18</f>
        <v>2792</v>
      </c>
      <c r="Q28" s="33">
        <f>Italy!Q$18</f>
        <v>42</v>
      </c>
      <c r="R28" s="33">
        <f>Italy!R$18</f>
        <v>3072</v>
      </c>
      <c r="S28" s="33">
        <f>Italy!S$18</f>
        <v>3639</v>
      </c>
      <c r="T28" s="33">
        <f>Italy!T$18</f>
        <v>1223.69</v>
      </c>
      <c r="U28" s="59">
        <f>Italy!U$18</f>
        <v>2334</v>
      </c>
    </row>
    <row r="29" spans="1:107" x14ac:dyDescent="0.25">
      <c r="A29" s="35" t="s">
        <v>34</v>
      </c>
      <c r="B29" s="42" t="str">
        <f t="shared" si="0"/>
        <v/>
      </c>
      <c r="C29" s="104">
        <v>1171</v>
      </c>
      <c r="D29" s="33">
        <v>0</v>
      </c>
      <c r="E29" s="38">
        <f>'Czech Republic'!E$10+UK!D$9+Poland!E$16+Denmark!E$18</f>
        <v>1171</v>
      </c>
      <c r="F29" s="33">
        <f>'Czech Republic'!F$10+UK!E$9+Poland!F$16+Denmark!F$18</f>
        <v>0</v>
      </c>
      <c r="G29" s="33">
        <f>'Czech Republic'!G$10+UK!F$9+Poland!G$16+Denmark!G$18</f>
        <v>881</v>
      </c>
      <c r="H29" s="33">
        <f>'Czech Republic'!H$10+UK!G$9+Poland!H$16+Denmark!H$18</f>
        <v>1191</v>
      </c>
      <c r="I29" s="33">
        <f>'Czech Republic'!I$10+UK!H$9+Poland!I$16+Denmark!I$18</f>
        <v>102</v>
      </c>
      <c r="J29" s="33">
        <f>'Czech Republic'!J$10+UK!I$9+Poland!J$16+Denmark!J$18</f>
        <v>0</v>
      </c>
      <c r="K29" s="33">
        <f>'Czech Republic'!K$10+UK!J$9+Poland!K$16+Denmark!K$18</f>
        <v>1276</v>
      </c>
      <c r="L29" s="33">
        <f>'Czech Republic'!L$10+UK!K$9+Poland!L$16+Denmark!L$18</f>
        <v>0</v>
      </c>
      <c r="M29" s="33">
        <f>'Czech Republic'!M$10+UK!L$9+Poland!M$16+Denmark!M$18</f>
        <v>791</v>
      </c>
      <c r="N29" s="33">
        <f>'Czech Republic'!N$10+UK!M$9+Poland!N$16+Denmark!N$18</f>
        <v>720</v>
      </c>
      <c r="O29" s="33">
        <f>'Czech Republic'!O$10+UK!N$9+Poland!O$16+Denmark!O$18</f>
        <v>298</v>
      </c>
      <c r="P29" s="33">
        <f>'Czech Republic'!P$10+UK!O$9+Poland!P$16+Denmark!P$18</f>
        <v>30</v>
      </c>
      <c r="Q29" s="33">
        <f>'Czech Republic'!Q$10+UK!P$9+Poland!Q$16+Denmark!Q$18</f>
        <v>40</v>
      </c>
      <c r="R29" s="33">
        <f>'Czech Republic'!R$10+UK!Q$9+Poland!R$16+Denmark!R$18</f>
        <v>285</v>
      </c>
      <c r="S29" s="33">
        <f>'Czech Republic'!S$10+UK!R$9+Poland!S$16+Denmark!S$18</f>
        <v>0</v>
      </c>
      <c r="T29" s="33">
        <f>'Czech Republic'!T$10+UK!S$9+Poland!T$16+Denmark!T$18</f>
        <v>20</v>
      </c>
      <c r="U29" s="59">
        <f>'Czech Republic'!U$10+UK!T$9+Poland!U$16+Denmark!U$18</f>
        <v>2</v>
      </c>
    </row>
    <row r="30" spans="1:107" x14ac:dyDescent="0.25">
      <c r="A30" s="35" t="s">
        <v>122</v>
      </c>
      <c r="B30" s="42">
        <f t="shared" si="0"/>
        <v>6.0447188042099774E-2</v>
      </c>
      <c r="C30" s="104">
        <v>-20322.137832558132</v>
      </c>
      <c r="D30" s="33">
        <v>-14388.7822461713</v>
      </c>
      <c r="E30" s="38">
        <f>Austria!E$6+Denmark!E$19+France!E$2+France!E$24+France!E$17+France!E$15+France!E$13+Switzerland!E$17+UK!E$10+Germany!E$19+Netherlands!E$6</f>
        <v>41455.198767441863</v>
      </c>
      <c r="F30" s="33">
        <f>Austria!F$6+Denmark!F$19+France!F$2+France!F$24+France!F$17+France!F$15+France!F$13+Switzerland!F$17+UK!F$10+Germany!F$19+Netherlands!F$6</f>
        <v>39092.186046511626</v>
      </c>
      <c r="G30" s="33">
        <f>Austria!G$6+Denmark!G$19+France!G$2+France!G$24+France!G$17+France!G$15+France!G$13+Switzerland!G$17+UK!G$10+Germany!G$19+Netherlands!G$6</f>
        <v>58359.523809523809</v>
      </c>
      <c r="H30" s="33">
        <f>Austria!H$6+Denmark!H$19+France!H$2+France!H$24+France!H$17+France!H$15+France!H$13+Switzerland!H$17+UK!H$10+Germany!H$19+Netherlands!H$6</f>
        <v>47879.523809523809</v>
      </c>
      <c r="I30" s="33">
        <f>Austria!I$6+Denmark!I$19+France!I$2+France!I$24+France!I$17+France!I$15+France!I$13+Switzerland!I$17+UK!I$10+Germany!I$19+Netherlands!I$6</f>
        <v>34856.449999999997</v>
      </c>
      <c r="J30" s="33">
        <f>Austria!J$6+Denmark!J$19+France!J$2+France!J$24+France!J$17+France!J$15+France!J$13+Switzerland!J$17+UK!J$10+Germany!J$19+Netherlands!J$6</f>
        <v>28476.58</v>
      </c>
      <c r="K30" s="33">
        <f>Austria!K$6+Denmark!K$19+France!K$2+France!K$24+France!K$17+France!K$15+France!K$13+Switzerland!K$17+UK!K$10+Germany!K$19+Netherlands!K$6</f>
        <v>48697.467199999999</v>
      </c>
      <c r="L30" s="33">
        <f>Austria!L$6+Denmark!L$19+France!L$2+France!L$24+France!L$17+France!L$15+France!L$13+Switzerland!L$17+UK!L$10+Germany!L$19+Netherlands!L$6</f>
        <v>12995.29</v>
      </c>
      <c r="M30" s="33">
        <f>Austria!M$6+Denmark!M$19+France!M$2+France!M$24+France!M$17+France!M$15+France!M$13+Switzerland!M$17+UK!M$10+Germany!M$19+Netherlands!M$6</f>
        <v>37026.81</v>
      </c>
      <c r="N30" s="33">
        <f>Austria!N$6+Denmark!N$19+France!N$2+France!N$24+France!N$17+France!N$15+France!N$13+Switzerland!N$17+UK!N$10+Germany!N$19+Netherlands!N$6</f>
        <v>32614.15</v>
      </c>
      <c r="O30" s="33">
        <f>Austria!O$6+Denmark!O$19+France!O$2+France!O$24+France!O$17+France!O$15+France!O$13+Switzerland!O$17+UK!O$10+Germany!O$19+Netherlands!O$6</f>
        <v>35189.01</v>
      </c>
      <c r="P30" s="33">
        <f>Austria!P$6+Denmark!P$19+France!P$2+France!P$24+France!P$17+France!P$15+France!P$13+Switzerland!P$17+UK!P$10+Germany!P$19+Netherlands!P$6</f>
        <v>31184.54</v>
      </c>
      <c r="Q30" s="33">
        <f>Austria!Q$6+Denmark!Q$19+France!Q$2+France!Q$24+France!Q$17+France!Q$15+France!Q$13+Switzerland!Q$17+UK!Q$10+Germany!Q$19+Netherlands!Q$6</f>
        <v>9695</v>
      </c>
      <c r="R30" s="33">
        <f>Austria!R$6+Denmark!R$19+France!R$2+France!R$24+France!R$17+France!R$15+France!R$13+Switzerland!R$17+UK!R$10+Germany!R$19+Netherlands!R$6</f>
        <v>15877</v>
      </c>
      <c r="S30" s="33">
        <f>Austria!S$6+Denmark!S$19+France!S$2+France!S$24+France!S$17+France!S$15+France!S$13+Switzerland!S$17+UK!S$10+Germany!S$19+Netherlands!S$6</f>
        <v>7152</v>
      </c>
      <c r="T30" s="33">
        <f>Austria!T$6+Denmark!T$19+France!T$2+France!T$24+France!T$17+France!T$15+France!T$13+Switzerland!T$17+UK!T$10+Germany!T$19+Netherlands!T$6</f>
        <v>10720</v>
      </c>
      <c r="U30" s="59">
        <f>Austria!U$6+Denmark!U$19+France!U$2+France!U$24+France!U$17+France!U$15+France!U$13+Switzerland!U$17+UK!U$10+Germany!U$19+Netherlands!U$6</f>
        <v>1184</v>
      </c>
    </row>
    <row r="31" spans="1:107" ht="13.8" thickBot="1" x14ac:dyDescent="0.3">
      <c r="A31" s="35" t="s">
        <v>6</v>
      </c>
      <c r="B31" s="42">
        <f t="shared" si="0"/>
        <v>2.8916270925250141E-2</v>
      </c>
      <c r="C31" s="104">
        <v>-98219.567821722419</v>
      </c>
      <c r="D31" s="33">
        <v>-98454.837115939474</v>
      </c>
      <c r="E31" s="38">
        <f>Austria!E$2+Austria!E$15+Austria!E$18+Austria!E$19+Austria!E$20+Belgium!E$9+'Czech Republic'!E$11+Denmark!E$3+Denmark!E$16+Germany!E$12+Germany!E$18+Germany!E$20+Italy!E$19+Spain!E$7+Switzerland!E$7+Switzerland!E$13+Switzerland!E$15+Switzerland!E$16+Switzerland!E$18+Netherlands!E$7+UK!E$11+France!E$3+France!E$7+France!E$22+France!E$23+France!E$25+Poland!E$10+Poland!E$17</f>
        <v>171825.71796527028</v>
      </c>
      <c r="F31" s="32">
        <f>Austria!F$2+Austria!F$15+Austria!F$18+Austria!F$19+Austria!F$20+Belgium!F$9+'Czech Republic'!F$11+Denmark!F$3+Denmark!F$16+Germany!F$12+Germany!F$18+Germany!F$20+Italy!F$19+Spain!F$7+Switzerland!F$7+Switzerland!F$13+Switzerland!F$15+Switzerland!F$16+Switzerland!F$18+Netherlands!F$7+UK!F$11+France!F$3+France!F$7+France!F$22+France!F$23+France!F$25+Poland!F$10+Poland!F$17</f>
        <v>166996.79344244063</v>
      </c>
      <c r="G31" s="32">
        <f>Austria!G$2+Austria!G$15+Austria!G$18+Austria!G$19+Austria!G$20+Belgium!G$9+'Czech Republic'!G$11+Denmark!G$3+Denmark!G$16+Germany!G$12+Germany!G$18+Germany!G$20+Italy!G$19+Spain!G$7+Switzerland!G$7+Switzerland!G$13+Switzerland!G$15+Switzerland!G$16+Switzerland!G$18+Netherlands!G$7+UK!G$11+France!G$3+France!G$7+France!G$22+France!G$23+France!G$25+Poland!G$10+Poland!G$17</f>
        <v>139747.02551004567</v>
      </c>
      <c r="H31" s="32">
        <f>Austria!H$2+Austria!H$15+Austria!H$18+Austria!H$19+Austria!H$20+Belgium!H$9+'Czech Republic'!H$11+Denmark!H$3+Denmark!H$16+Germany!H$12+Germany!H$18+Germany!H$20+Italy!H$19+Spain!H$7+Switzerland!H$7+Switzerland!H$13+Switzerland!H$15+Switzerland!H$16+Switzerland!H$18+Netherlands!H$7+UK!H$11+France!H$3+France!H$7+France!H$22+France!H$23+France!H$25+Poland!H$10+Poland!H$17</f>
        <v>133629.35447226313</v>
      </c>
      <c r="I31" s="32">
        <f>Austria!I$2+Austria!I$15+Austria!I$18+Austria!I$19+Austria!I$20+Belgium!I$9+'Czech Republic'!I$11+Denmark!I$3+Denmark!I$16+Germany!I$12+Germany!I$18+Germany!I$20+Italy!I$19+Spain!I$7+Switzerland!I$7+Switzerland!I$13+Switzerland!I$15+Switzerland!I$16+Switzerland!I$18+Netherlands!I$7+UK!I$11+France!I$3+France!I$7+France!I$22+France!I$23+France!I$25+Poland!I$10+Poland!I$17</f>
        <v>154529.9</v>
      </c>
      <c r="J31" s="32">
        <f>Austria!J$2+Austria!J$15+Austria!J$18+Austria!J$19+Austria!J$20+Belgium!J$9+'Czech Republic'!J$11+Denmark!J$3+Denmark!J$16+Germany!J$12+Germany!J$18+Germany!J$20+Italy!J$19+Spain!J$7+Switzerland!J$7+Switzerland!J$13+Switzerland!J$15+Switzerland!J$16+Switzerland!J$18+Netherlands!J$7+UK!J$11+France!J$3+France!J$7+France!J$22+France!J$23+France!J$25+Poland!J$10+Poland!J$17</f>
        <v>61596.1</v>
      </c>
      <c r="K31" s="32">
        <f>Austria!K$2+Austria!K$15+Austria!K$18+Austria!K$19+Austria!K$20+Belgium!K$9+'Czech Republic'!K$11+Denmark!K$3+Denmark!K$16+Germany!K$12+Germany!K$18+Germany!K$20+Italy!K$19+Spain!K$7+Switzerland!K$7+Switzerland!K$13+Switzerland!K$15+Switzerland!K$16+Switzerland!K$18+Netherlands!K$7+UK!K$11+France!K$3+France!K$7+France!K$22+France!K$23+France!K$25+Poland!K$10+Poland!K$17</f>
        <v>168745.82810000004</v>
      </c>
      <c r="L31" s="32">
        <f>Austria!L$2+Austria!L$15+Austria!L$18+Austria!L$19+Austria!L$20+Belgium!L$9+'Czech Republic'!L$11+Denmark!L$3+Denmark!L$16+Germany!L$12+Germany!L$18+Germany!L$20+Italy!L$19+Spain!L$7+Switzerland!L$7+Switzerland!L$13+Switzerland!L$15+Switzerland!L$16+Switzerland!L$18+Netherlands!L$7+UK!L$11+France!L$3+France!L$7+France!L$22+France!L$23+France!L$25+Poland!L$10+Poland!L$17</f>
        <v>38095.069000000003</v>
      </c>
      <c r="M31" s="32">
        <f>Austria!M$2+Austria!M$15+Austria!M$18+Austria!M$19+Austria!M$20+Belgium!M$9+'Czech Republic'!M$11+Denmark!M$3+Denmark!M$16+Germany!M$12+Germany!M$18+Germany!M$20+Italy!M$19+Spain!M$7+Switzerland!M$7+Switzerland!M$13+Switzerland!M$15+Switzerland!M$16+Switzerland!M$18+Netherlands!M$7+UK!M$11+France!M$3+France!M$7+France!M$22+France!M$23+France!M$25+Poland!M$10+Poland!M$17</f>
        <v>109087.2</v>
      </c>
      <c r="N31" s="32">
        <f>Austria!N$2+Austria!N$15+Austria!N$18+Austria!N$19+Austria!N$20+Belgium!N$9+'Czech Republic'!N$11+Denmark!N$3+Denmark!N$16+Germany!N$12+Germany!N$18+Germany!N$20+Italy!N$19+Spain!N$7+Switzerland!N$7+Switzerland!N$13+Switzerland!N$15+Switzerland!N$16+Switzerland!N$18+Netherlands!N$7+UK!N$11+France!N$3+France!N$7+France!N$22+France!N$23+France!N$25+Poland!N$10+Poland!N$17</f>
        <v>116503.19</v>
      </c>
      <c r="O31" s="32">
        <f>Austria!O$2+Austria!O$15+Austria!O$18+Austria!O$19+Austria!O$20+Belgium!O$9+'Czech Republic'!O$11+Denmark!O$3+Denmark!O$16+Germany!O$12+Germany!O$18+Germany!O$20+Italy!O$19+Spain!O$7+Switzerland!O$7+Switzerland!O$13+Switzerland!O$15+Switzerland!O$16+Switzerland!O$18+Netherlands!O$7+UK!O$11+France!O$3+France!O$7+France!O$22+France!O$23+France!O$25+Poland!O$10+Poland!O$17</f>
        <v>87359.915000000008</v>
      </c>
      <c r="P31" s="32">
        <f>Austria!P$2+Austria!P$15+Austria!P$18+Austria!P$19+Austria!P$20+Belgium!P$9+'Czech Republic'!P$11+Denmark!P$3+Denmark!P$16+Germany!P$12+Germany!P$18+Germany!P$20+Italy!P$19+Spain!P$7+Switzerland!P$7+Switzerland!P$13+Switzerland!P$15+Switzerland!P$16+Switzerland!P$18+Netherlands!P$7+UK!P$11+France!P$3+France!P$7+France!P$22+France!P$23+France!P$25+Poland!P$10+Poland!P$17</f>
        <v>102933.24</v>
      </c>
      <c r="Q31" s="32">
        <f>Austria!Q$2+Austria!Q$15+Austria!Q$18+Austria!Q$19+Austria!Q$20+Belgium!Q$9+'Czech Republic'!Q$11+Denmark!Q$3+Denmark!Q$16+Germany!Q$12+Germany!Q$18+Germany!Q$20+Italy!Q$19+Spain!Q$7+Switzerland!Q$7+Switzerland!Q$13+Switzerland!Q$15+Switzerland!Q$16+Switzerland!Q$18+Netherlands!Q$7+UK!Q$11+France!Q$3+France!Q$7+France!Q$22+France!Q$23+France!Q$25+Poland!Q$10+Poland!Q$17</f>
        <v>69356</v>
      </c>
      <c r="R31" s="32">
        <f>Austria!R$2+Austria!R$15+Austria!R$18+Austria!R$19+Austria!R$20+Belgium!R$9+'Czech Republic'!R$11+Denmark!R$3+Denmark!R$16+Germany!R$12+Germany!R$18+Germany!R$20+Italy!R$19+Spain!R$7+Switzerland!R$7+Switzerland!R$13+Switzerland!R$15+Switzerland!R$16+Switzerland!R$18+Netherlands!R$7+UK!R$11+France!R$3+France!R$7+France!R$22+France!R$23+France!R$25+Poland!R$10+Poland!R$17</f>
        <v>90002</v>
      </c>
      <c r="S31" s="32">
        <f>Austria!S$2+Austria!S$15+Austria!S$18+Austria!S$19+Austria!S$20+Belgium!S$9+'Czech Republic'!S$11+Denmark!S$3+Denmark!S$16+Germany!S$12+Germany!S$18+Germany!S$20+Italy!S$19+Spain!S$7+Switzerland!S$7+Switzerland!S$13+Switzerland!S$15+Switzerland!S$16+Switzerland!S$18+Netherlands!S$7+UK!S$11+France!S$3+France!S$7+France!S$22+France!S$23+France!S$25+Poland!S$10+Poland!S$17</f>
        <v>56577.5</v>
      </c>
      <c r="T31" s="32">
        <f>Austria!T$2+Austria!T$15+Austria!T$18+Austria!T$19+Austria!T$20+Belgium!T$9+'Czech Republic'!T$11+Denmark!T$3+Denmark!T$16+Germany!T$12+Germany!T$18+Germany!T$20+Italy!T$19+Spain!T$7+Switzerland!T$7+Switzerland!T$13+Switzerland!T$15+Switzerland!T$16+Switzerland!T$18+Netherlands!T$7+UK!T$11+France!T$3+France!T$7+France!T$22+France!T$23+France!T$25+Poland!T$10+Poland!T$17</f>
        <v>53440</v>
      </c>
      <c r="U31" s="60">
        <f>Austria!U$2+Austria!U$15+Austria!U$18+Austria!U$19+Austria!U$20+Belgium!U$9+'Czech Republic'!U$11+Denmark!U$3+Denmark!U$16+Germany!U$12+Germany!U$18+Germany!U$20+Italy!U$19+Spain!U$7+Switzerland!U$7+Switzerland!U$13+Switzerland!U$15+Switzerland!U$16+Switzerland!U$18+Netherlands!U$7+UK!U$11+France!U$3+France!U$7+France!U$22+France!U$23+France!U$25+Poland!U$10+Poland!U$17</f>
        <v>34955</v>
      </c>
      <c r="W31" s="3"/>
    </row>
    <row r="32" spans="1:107" ht="13.8" thickBot="1" x14ac:dyDescent="0.3">
      <c r="A32" s="34" t="s">
        <v>91</v>
      </c>
      <c r="B32" s="130">
        <f t="shared" si="0"/>
        <v>-6.3986251229846414E-2</v>
      </c>
      <c r="C32" s="109">
        <v>-565305.68713230407</v>
      </c>
      <c r="D32" s="41">
        <v>-618436.79060852877</v>
      </c>
      <c r="E32" s="40">
        <f>SUM(E2:E31)</f>
        <v>1196023.85045574</v>
      </c>
      <c r="F32" s="29">
        <f>SUM(F2:F31)</f>
        <v>1277784.48984026</v>
      </c>
      <c r="G32" s="29">
        <f>SUM(G2:G31)</f>
        <v>1263942.8593189148</v>
      </c>
      <c r="H32" s="29">
        <f>SUM(H2:H31)</f>
        <v>1534261.1862372607</v>
      </c>
      <c r="I32" s="29">
        <f>SUM(I2:I31)</f>
        <v>1298043.457053222</v>
      </c>
      <c r="J32" s="29">
        <f t="shared" ref="J32:O32" si="1">SUM(J2:J31)</f>
        <v>1109555.8460265961</v>
      </c>
      <c r="K32" s="29">
        <f t="shared" si="1"/>
        <v>1562416.2591331627</v>
      </c>
      <c r="L32" s="29">
        <f t="shared" si="1"/>
        <v>708343.59800000011</v>
      </c>
      <c r="M32" s="41">
        <f t="shared" si="1"/>
        <v>1344911.9229970854</v>
      </c>
      <c r="N32" s="41">
        <f t="shared" si="1"/>
        <v>1398262.0178398711</v>
      </c>
      <c r="O32" s="41">
        <f t="shared" si="1"/>
        <v>1315233.5131682649</v>
      </c>
      <c r="P32" s="41">
        <f t="shared" ref="P32:U32" si="2">SUM(P2:P31)</f>
        <v>1299429.735538892</v>
      </c>
      <c r="Q32" s="41">
        <f t="shared" si="2"/>
        <v>838215.77196048235</v>
      </c>
      <c r="R32" s="41">
        <f t="shared" si="2"/>
        <v>1181952.7459239243</v>
      </c>
      <c r="S32" s="41">
        <f t="shared" si="2"/>
        <v>920798.31371918274</v>
      </c>
      <c r="T32" s="41">
        <f t="shared" si="2"/>
        <v>1136520.32</v>
      </c>
      <c r="U32" s="79">
        <f t="shared" si="2"/>
        <v>942572.89999999991</v>
      </c>
    </row>
    <row r="33" spans="1:21" x14ac:dyDescent="0.25">
      <c r="A33" s="45" t="s">
        <v>148</v>
      </c>
    </row>
    <row r="34" spans="1:21" ht="13.8" thickBot="1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s="45" customFormat="1" ht="13.8" thickBot="1" x14ac:dyDescent="0.3">
      <c r="A35" s="46" t="s">
        <v>90</v>
      </c>
      <c r="B35" s="119" t="s">
        <v>170</v>
      </c>
      <c r="C35" s="44" t="s">
        <v>171</v>
      </c>
      <c r="D35" s="67" t="s">
        <v>168</v>
      </c>
      <c r="E35" s="91">
        <v>45778</v>
      </c>
      <c r="F35" s="97">
        <v>45413</v>
      </c>
      <c r="G35" s="97">
        <v>45047</v>
      </c>
      <c r="H35" s="97">
        <v>44682</v>
      </c>
      <c r="I35" s="97">
        <v>44317</v>
      </c>
      <c r="J35" s="97">
        <v>43952</v>
      </c>
      <c r="K35" s="97">
        <v>43586</v>
      </c>
      <c r="L35" s="97">
        <v>43221</v>
      </c>
      <c r="M35" s="20">
        <v>42856</v>
      </c>
      <c r="N35" s="20">
        <v>42491</v>
      </c>
      <c r="O35" s="20">
        <v>42125</v>
      </c>
      <c r="P35" s="20">
        <v>41760</v>
      </c>
      <c r="Q35" s="20">
        <v>41395</v>
      </c>
      <c r="R35" s="20">
        <v>41030</v>
      </c>
      <c r="S35" s="20">
        <v>40664</v>
      </c>
      <c r="T35" s="20">
        <v>40299</v>
      </c>
      <c r="U35" s="21">
        <v>39934</v>
      </c>
    </row>
    <row r="36" spans="1:21" s="45" customFormat="1" x14ac:dyDescent="0.25">
      <c r="A36" s="80" t="s">
        <v>102</v>
      </c>
      <c r="B36" s="81" t="str">
        <f t="shared" ref="B36:B44" si="3">IFERROR(((E36-F36)/F36),"")</f>
        <v/>
      </c>
      <c r="C36" s="131">
        <v>-8094.7050741962903</v>
      </c>
      <c r="D36" s="82">
        <v>0</v>
      </c>
      <c r="E36" s="98">
        <f>Italy!E$24</f>
        <v>0</v>
      </c>
      <c r="F36" s="82">
        <f>Italy!F$24</f>
        <v>0</v>
      </c>
      <c r="G36" s="82">
        <f>Italy!G$24</f>
        <v>0</v>
      </c>
      <c r="H36" s="82">
        <f>Italy!H$24</f>
        <v>0</v>
      </c>
      <c r="I36" s="82">
        <f>Italy!I$24</f>
        <v>0</v>
      </c>
      <c r="J36" s="82">
        <f>Italy!J$24</f>
        <v>0</v>
      </c>
      <c r="K36" s="82">
        <f>Italy!K$24</f>
        <v>0</v>
      </c>
      <c r="L36" s="50">
        <f>Italy!L$24</f>
        <v>0</v>
      </c>
      <c r="M36" s="33">
        <f>Italy!M$24</f>
        <v>0</v>
      </c>
      <c r="N36" s="82">
        <f>Italy!N$24</f>
        <v>0</v>
      </c>
      <c r="O36" s="82">
        <f>Italy!O$24</f>
        <v>0</v>
      </c>
      <c r="P36" s="82">
        <f>Italy!P$24</f>
        <v>0</v>
      </c>
      <c r="Q36" s="82">
        <f>Italy!Q$24</f>
        <v>0</v>
      </c>
      <c r="R36" s="82">
        <f>Italy!R$24</f>
        <v>0</v>
      </c>
      <c r="S36" s="82">
        <f>Italy!S$24</f>
        <v>0</v>
      </c>
      <c r="T36" s="82">
        <f>Italy!T$24</f>
        <v>0</v>
      </c>
      <c r="U36" s="83">
        <f>Italy!U$24</f>
        <v>0</v>
      </c>
    </row>
    <row r="37" spans="1:21" s="45" customFormat="1" x14ac:dyDescent="0.25">
      <c r="A37" s="47" t="s">
        <v>37</v>
      </c>
      <c r="B37" s="48">
        <f t="shared" si="3"/>
        <v>-0.44339622641509435</v>
      </c>
      <c r="C37" s="132">
        <v>-54</v>
      </c>
      <c r="D37" s="50">
        <v>-107</v>
      </c>
      <c r="E37" s="49">
        <f>Spain!E$12</f>
        <v>59</v>
      </c>
      <c r="F37" s="50">
        <f>Spain!F$12</f>
        <v>106</v>
      </c>
      <c r="G37" s="50">
        <f>Spain!G$12</f>
        <v>258.79595848782822</v>
      </c>
      <c r="H37" s="50">
        <f>Spain!H$12</f>
        <v>196.54607557201513</v>
      </c>
      <c r="I37" s="50">
        <f>Spain!I$12</f>
        <v>569.43159996737029</v>
      </c>
      <c r="J37" s="50">
        <f>Spain!J$12</f>
        <v>381.58372637194446</v>
      </c>
      <c r="K37" s="50">
        <f>Spain!K$12</f>
        <v>287.74257819928732</v>
      </c>
      <c r="L37" s="50">
        <f>Spain!L$12</f>
        <v>440</v>
      </c>
      <c r="M37" s="33">
        <f>Spain!M$12</f>
        <v>424</v>
      </c>
      <c r="N37" s="50">
        <f>Spain!N$12</f>
        <v>139.26667758805868</v>
      </c>
      <c r="O37" s="50">
        <f>Spain!O$12</f>
        <v>39.170287745711697</v>
      </c>
      <c r="P37" s="50">
        <f>Spain!P$12</f>
        <v>1110.6048561530492</v>
      </c>
      <c r="Q37" s="50">
        <f>Spain!Q$12</f>
        <v>0</v>
      </c>
      <c r="R37" s="50">
        <f>Spain!R$12</f>
        <v>1796.1608987079055</v>
      </c>
      <c r="S37" s="50">
        <f>Spain!S$12</f>
        <v>967.82542476351398</v>
      </c>
      <c r="T37" s="50">
        <f>Spain!T$12</f>
        <v>522</v>
      </c>
      <c r="U37" s="61">
        <f>Spain!U$12</f>
        <v>284</v>
      </c>
    </row>
    <row r="38" spans="1:21" s="45" customFormat="1" x14ac:dyDescent="0.25">
      <c r="A38" s="47" t="s">
        <v>38</v>
      </c>
      <c r="B38" s="48">
        <f t="shared" si="3"/>
        <v>39</v>
      </c>
      <c r="C38" s="132">
        <v>-315</v>
      </c>
      <c r="D38" s="50">
        <v>-106</v>
      </c>
      <c r="E38" s="49">
        <f>Spain!E$13</f>
        <v>480</v>
      </c>
      <c r="F38" s="50">
        <f>Spain!F$13</f>
        <v>12</v>
      </c>
      <c r="G38" s="50">
        <f>Spain!G$13</f>
        <v>415.13916399782795</v>
      </c>
      <c r="H38" s="50">
        <f>Spain!H$13</f>
        <v>128.46891797569245</v>
      </c>
      <c r="I38" s="50">
        <f>Spain!I$13</f>
        <v>1378.2395653683398</v>
      </c>
      <c r="J38" s="50">
        <f>Spain!J$13</f>
        <v>135.62027529308193</v>
      </c>
      <c r="K38" s="50">
        <f>Spain!K$13</f>
        <v>359.23662885991445</v>
      </c>
      <c r="L38" s="50">
        <f>Spain!L$13</f>
        <v>1580</v>
      </c>
      <c r="M38" s="33">
        <f>Spain!M$13</f>
        <v>163</v>
      </c>
      <c r="N38" s="50">
        <f>Spain!N$13</f>
        <v>524.52251944030786</v>
      </c>
      <c r="O38" s="50">
        <f>Spain!O$13</f>
        <v>965.5811674641468</v>
      </c>
      <c r="P38" s="50">
        <f>Spain!P$13</f>
        <v>1389.8645323967746</v>
      </c>
      <c r="Q38" s="50">
        <f>Spain!Q$13</f>
        <v>251.56493920175487</v>
      </c>
      <c r="R38" s="50">
        <f>Spain!R$13</f>
        <v>1496.5775096917525</v>
      </c>
      <c r="S38" s="50">
        <f>Spain!S$13</f>
        <v>2776.1818778763163</v>
      </c>
      <c r="T38" s="50">
        <f>Spain!T$13</f>
        <v>2076</v>
      </c>
      <c r="U38" s="61">
        <f>Spain!U$13</f>
        <v>895</v>
      </c>
    </row>
    <row r="39" spans="1:21" s="45" customFormat="1" x14ac:dyDescent="0.25">
      <c r="A39" s="47" t="s">
        <v>7</v>
      </c>
      <c r="B39" s="48">
        <f t="shared" si="3"/>
        <v>-0.24329150862800511</v>
      </c>
      <c r="C39" s="132">
        <v>-57726.55575040041</v>
      </c>
      <c r="D39" s="50">
        <v>-63224.682391921</v>
      </c>
      <c r="E39" s="49">
        <f>Belgium!E$15+Denmark!E$25+Italy!E$25+Poland!E$22+Spain!E$14+Switzerland!E$24+Netherlands!E$12+UK!E$16+'Czech Republic'!E$16+France!E$32</f>
        <v>83579.737934847537</v>
      </c>
      <c r="F39" s="50">
        <f>Belgium!F$15+Denmark!F$25+Italy!F$25+Poland!F$22+Spain!F$14+Switzerland!F$24+Netherlands!F$12+UK!F$16+'Czech Republic'!F$16+France!F$32</f>
        <v>110451.6982270258</v>
      </c>
      <c r="G39" s="50">
        <f>Belgium!G$15+Denmark!G$25+Italy!G$25+Poland!G$22+Spain!G$14+Switzerland!G$24+Netherlands!G$12+UK!G$16+'Czech Republic'!G$16+France!G$32</f>
        <v>92923.860070934796</v>
      </c>
      <c r="H39" s="50">
        <f>Belgium!H$15+Denmark!H$25+Italy!H$25+Poland!H$22+Spain!H$14+Switzerland!H$24+Netherlands!H$12+UK!H$16+'Czech Republic'!H$16+France!H$32</f>
        <v>129676.4084964272</v>
      </c>
      <c r="I39" s="50">
        <f>Belgium!I$15+Denmark!I$25+Italy!I$25+Poland!I$22+Spain!I$14+Switzerland!I$24+Netherlands!I$12+UK!I$16+'Czech Republic'!I$16+France!I$32</f>
        <v>124551.83447305777</v>
      </c>
      <c r="J39" s="50">
        <f>Belgium!J$15+Denmark!J$25+Italy!J$25+Poland!J$22+Spain!J$14+Switzerland!J$24+Netherlands!J$12+UK!J$16+'Czech Republic'!J$16+France!J$32</f>
        <v>88356.885301426839</v>
      </c>
      <c r="K39" s="50">
        <f>Belgium!K$15+Denmark!K$25+Italy!K$25+Poland!K$22+Spain!K$14+Switzerland!K$24+Netherlands!K$12+UK!K$16+'Czech Republic'!K$16+France!K$32</f>
        <v>124227.37277406374</v>
      </c>
      <c r="L39" s="50">
        <f>Belgium!L$15+Denmark!L$25+Italy!L$25+Poland!L$22+Spain!L$14+Switzerland!L$24+Netherlands!L$12+UK!L$16+'Czech Republic'!L$16+France!L$32</f>
        <v>91953.519</v>
      </c>
      <c r="M39" s="33">
        <f>Belgium!M$15+Denmark!M$25+Italy!M$25+Poland!M$22+Spain!M$14+Switzerland!M$24+Netherlands!M$12+UK!M$16+'Czech Republic'!M$16+France!M$32</f>
        <v>106182</v>
      </c>
      <c r="N39" s="50">
        <f>Belgium!N$15+Denmark!N$25+Italy!N$25+Poland!N$22+Spain!N$14+Switzerland!N$24+Netherlands!N$12+UK!N$16+'Czech Republic'!N$16+France!N$32</f>
        <v>131286.95001749476</v>
      </c>
      <c r="O39" s="50">
        <f>Belgium!O$15+Denmark!O$25+Italy!O$25+Poland!O$22+Spain!O$14+Switzerland!O$24+Netherlands!O$12+UK!O$16+'Czech Republic'!O$16+France!O$32</f>
        <v>96988.927569044899</v>
      </c>
      <c r="P39" s="50">
        <f>Belgium!P$15+Denmark!P$25+Italy!P$25+Poland!P$22+Spain!P$14+Switzerland!P$24+Netherlands!P$12+UK!P$16+'Czech Republic'!P$16+France!P$32</f>
        <v>79312.88284044493</v>
      </c>
      <c r="Q39" s="50">
        <f>Belgium!Q$15+Denmark!Q$25+Italy!Q$25+Poland!Q$22+Spain!Q$14+Switzerland!Q$24+Netherlands!Q$12+UK!Q$16+'Czech Republic'!Q$16+France!Q$32</f>
        <v>43582.079374474757</v>
      </c>
      <c r="R39" s="50">
        <f>Belgium!R$15+Denmark!R$25+Italy!R$25+Poland!R$22+Spain!R$14+Switzerland!R$24+Netherlands!R$12+UK!R$16+'Czech Republic'!R$16+France!R$32</f>
        <v>99272.406296364148</v>
      </c>
      <c r="S39" s="50">
        <f>Belgium!S$15+Denmark!S$25+Italy!S$25+Poland!S$22+Spain!S$14+Switzerland!S$24+Netherlands!S$12+UK!S$16+'Czech Republic'!S$16+France!S$32</f>
        <v>95702.841842360547</v>
      </c>
      <c r="T39" s="50">
        <f>Belgium!T$15+Denmark!T$25+Italy!T$25+Poland!T$22+Spain!T$14+Switzerland!T$24+Netherlands!T$12+UK!T$16+'Czech Republic'!T$16+France!T$32</f>
        <v>85654</v>
      </c>
      <c r="U39" s="61">
        <f>Belgium!U$15+Denmark!U$25+Italy!U$25+Poland!U$22+Spain!U$14+Switzerland!U$24+Netherlands!U$12+UK!U$16+'Czech Republic'!U$16+France!U$32</f>
        <v>32079</v>
      </c>
    </row>
    <row r="40" spans="1:21" s="45" customFormat="1" x14ac:dyDescent="0.25">
      <c r="A40" s="47" t="s">
        <v>92</v>
      </c>
      <c r="B40" s="48">
        <f t="shared" si="3"/>
        <v>106.1854</v>
      </c>
      <c r="C40" s="132">
        <v>137.73938194975364</v>
      </c>
      <c r="D40" s="50">
        <v>-13</v>
      </c>
      <c r="E40" s="49">
        <f>Belgium!E$16+Italy!E$26+Poland!E$23+Netherlands!E$13+UK!E$17+France!E$33+Denmark!E$26</f>
        <v>321.55619999999999</v>
      </c>
      <c r="F40" s="50">
        <f>Belgium!F$16+Italy!F$26+Poland!F$23+Netherlands!F$13+UK!F$17+France!F$33+Denmark!F$26</f>
        <v>3</v>
      </c>
      <c r="G40" s="50">
        <f>Belgium!G$16+Italy!G$26+Poland!G$23+Netherlands!G$13+UK!G$17+France!G$33+Denmark!G$26</f>
        <v>10</v>
      </c>
      <c r="H40" s="50">
        <f>Belgium!H$16+Italy!H$26+Poland!H$23+Netherlands!H$13+UK!H$17+France!H$33+Denmark!H$26</f>
        <v>0</v>
      </c>
      <c r="I40" s="50">
        <f>Belgium!I$16+Italy!I$26+Poland!I$23+Netherlands!I$13+UK!I$17+France!I$33+Denmark!I$26</f>
        <v>136</v>
      </c>
      <c r="J40" s="50">
        <f>Belgium!J$16+Italy!J$26+Poland!J$23+Netherlands!J$13+UK!J$17+France!J$33+Denmark!J$26</f>
        <v>22</v>
      </c>
      <c r="K40" s="50">
        <f>Belgium!K$16+Italy!K$26+Poland!K$23+Netherlands!K$13+UK!K$17+France!K$33+Denmark!K$26</f>
        <v>72</v>
      </c>
      <c r="L40" s="50">
        <f>Belgium!L$16+Italy!L$26+Poland!L$23+Netherlands!L$13+UK!L$17+France!L$33+Denmark!L$26</f>
        <v>87</v>
      </c>
      <c r="M40" s="33">
        <f>Belgium!M$16+Italy!M$26+Poland!M$23+Netherlands!M$13+UK!M$17+France!M$33+Denmark!M$26</f>
        <v>27</v>
      </c>
      <c r="N40" s="50">
        <f>Belgium!N$16+Italy!N$26+Poland!N$23+Netherlands!N$13+UK!N$17+France!N$33+Denmark!N$26</f>
        <v>73</v>
      </c>
      <c r="O40" s="50">
        <f>Belgium!O$16+Italy!O$26+Poland!O$23+Netherlands!O$13+UK!O$17+France!O$33+Denmark!O$26</f>
        <v>3</v>
      </c>
      <c r="P40" s="50">
        <f>Belgium!P$16+Italy!P$26+Poland!P$23+Netherlands!P$13+UK!P$17+France!P$33+Denmark!P$26</f>
        <v>6</v>
      </c>
      <c r="Q40" s="50">
        <f>Belgium!Q$16+Italy!Q$26+Poland!Q$23+Netherlands!Q$13+UK!Q$17+France!Q$33+Denmark!Q$26</f>
        <v>0</v>
      </c>
      <c r="R40" s="50">
        <f>Belgium!R$16+Italy!R$26+Poland!R$23+Netherlands!R$13+UK!R$17+France!R$33+Denmark!R$26</f>
        <v>39</v>
      </c>
      <c r="S40" s="50">
        <f>Belgium!S$16+Italy!S$26+Poland!S$23+Netherlands!S$13+UK!S$17+France!S$33+Denmark!S$26</f>
        <v>0</v>
      </c>
      <c r="T40" s="50">
        <f>Belgium!T$16+Italy!T$26+Poland!T$23+Netherlands!T$13+UK!T$17+France!T$33+Denmark!T$26</f>
        <v>0</v>
      </c>
      <c r="U40" s="61">
        <f>Belgium!U$16+Italy!U$26+Poland!U$23+Netherlands!U$13+UK!U$17+France!U$33+Denmark!U$26</f>
        <v>0</v>
      </c>
    </row>
    <row r="41" spans="1:21" s="45" customFormat="1" x14ac:dyDescent="0.25">
      <c r="A41" s="47" t="s">
        <v>29</v>
      </c>
      <c r="B41" s="48" t="str">
        <f t="shared" si="3"/>
        <v/>
      </c>
      <c r="C41" s="132">
        <v>-1521.302204775508</v>
      </c>
      <c r="D41" s="50">
        <v>0</v>
      </c>
      <c r="E41" s="49">
        <f>Italy!E$27</f>
        <v>0</v>
      </c>
      <c r="F41" s="50">
        <f>Italy!F$27</f>
        <v>0</v>
      </c>
      <c r="G41" s="50">
        <f>Italy!G$27</f>
        <v>0</v>
      </c>
      <c r="H41" s="50">
        <f>Italy!H$27</f>
        <v>0</v>
      </c>
      <c r="I41" s="50">
        <f>Italy!I$27</f>
        <v>0</v>
      </c>
      <c r="J41" s="50">
        <f>Italy!J$27</f>
        <v>0</v>
      </c>
      <c r="K41" s="50">
        <f>Italy!K$27</f>
        <v>0</v>
      </c>
      <c r="L41" s="50">
        <f>Italy!L$27</f>
        <v>0</v>
      </c>
      <c r="M41" s="33">
        <f>Italy!M$27</f>
        <v>0</v>
      </c>
      <c r="N41" s="50">
        <f>Italy!N$27</f>
        <v>0</v>
      </c>
      <c r="O41" s="50">
        <f>Italy!O$27</f>
        <v>0</v>
      </c>
      <c r="P41" s="50">
        <f>Italy!P$27</f>
        <v>0</v>
      </c>
      <c r="Q41" s="50">
        <f>Italy!Q$27</f>
        <v>0</v>
      </c>
      <c r="R41" s="50">
        <f>Italy!R$27</f>
        <v>0</v>
      </c>
      <c r="S41" s="50">
        <f>Italy!S$27</f>
        <v>0</v>
      </c>
      <c r="T41" s="50">
        <f>Italy!T$27</f>
        <v>0</v>
      </c>
      <c r="U41" s="61">
        <f>Italy!U$27</f>
        <v>0</v>
      </c>
    </row>
    <row r="42" spans="1:21" s="45" customFormat="1" x14ac:dyDescent="0.25">
      <c r="A42" s="47" t="s">
        <v>147</v>
      </c>
      <c r="B42" s="133">
        <f t="shared" si="3"/>
        <v>0.58062074186222556</v>
      </c>
      <c r="C42" s="134">
        <v>-25398</v>
      </c>
      <c r="D42" s="135">
        <v>-20338</v>
      </c>
      <c r="E42" s="136">
        <f>Portugal!E$13</f>
        <v>10440</v>
      </c>
      <c r="F42" s="50">
        <f>Portugal!F$13</f>
        <v>6605</v>
      </c>
      <c r="G42" s="50">
        <f>Portugal!G$13</f>
        <v>4063</v>
      </c>
      <c r="H42" s="50">
        <f>Portugal!H$13</f>
        <v>34896</v>
      </c>
      <c r="I42" s="50">
        <f>Portugal!I$13</f>
        <v>4217.5</v>
      </c>
      <c r="J42" s="50">
        <f>Portugal!J$13</f>
        <v>12058</v>
      </c>
      <c r="K42" s="50">
        <f>Portugal!K$13</f>
        <v>12737</v>
      </c>
      <c r="L42" s="50">
        <f>Portugal!L$13</f>
        <v>5745</v>
      </c>
      <c r="M42" s="33">
        <f>Portugal!M$13</f>
        <v>4397</v>
      </c>
      <c r="N42" s="50">
        <f>Portugal!N$13</f>
        <v>2891</v>
      </c>
      <c r="O42" s="50">
        <f>Portugal!O$13</f>
        <v>6678.5714285714284</v>
      </c>
      <c r="P42" s="50">
        <f>Portugal!P$13</f>
        <v>26042.682926829268</v>
      </c>
      <c r="Q42" s="50">
        <f>Portugal!Q$13</f>
        <v>0</v>
      </c>
      <c r="R42" s="50">
        <f>Portugal!R$13</f>
        <v>0</v>
      </c>
      <c r="S42" s="50">
        <f>Portugal!S$13</f>
        <v>0</v>
      </c>
      <c r="T42" s="50">
        <f>Portugal!T$13</f>
        <v>0</v>
      </c>
      <c r="U42" s="61">
        <f>Portugal!U$13</f>
        <v>0</v>
      </c>
    </row>
    <row r="43" spans="1:21" s="45" customFormat="1" ht="13.8" thickBot="1" x14ac:dyDescent="0.3">
      <c r="A43" s="51" t="s">
        <v>6</v>
      </c>
      <c r="B43" s="52">
        <f t="shared" si="3"/>
        <v>-0.11733047084508172</v>
      </c>
      <c r="C43" s="137">
        <v>-8905.2000877271694</v>
      </c>
      <c r="D43" s="54">
        <v>-4360.3</v>
      </c>
      <c r="E43" s="53">
        <f>Belgium!E$19+Denmark!E$27+Germany!E$25+Italy!E$28+Poland!E$24+Spain!E$15+Spain!E$16+Switzerland!E$23+Switzerland!E$25+Switzerland!E$26+Switzerland!E$27+Netherlands!E$14+UK!D$18+'Czech Republic'!E$17+'Czech Republic'!E$18+'Czech Republic'!E$19+'Czech Republic'!E$20+France!E$31+France!E$35+France!E$36+France!E$37+France!E$30+Belgium!E$18</f>
        <v>2032.7879256437768</v>
      </c>
      <c r="F43" s="54">
        <f>Belgium!F$19+Denmark!F$27+Germany!F$25+Italy!F$28+Poland!F$24+Spain!F$15+Spain!F$16+Switzerland!F$23+Switzerland!F$25+Switzerland!F$26+Switzerland!F$27+Netherlands!F$14+UK!F$18+'Czech Republic'!F$17+'Czech Republic'!F$18+'Czech Republic'!F$19+'Czech Republic'!F$20+France!F$31+France!F$35+France!F$36+France!F$37+France!F$30+Belgium!F$18</f>
        <v>2303</v>
      </c>
      <c r="G43" s="54">
        <f>Belgium!G$19+Denmark!G$27+Germany!G$25+Italy!G$28+Poland!G$24+Spain!G$15+Spain!G$16+Switzerland!G$23+Switzerland!G$25+Switzerland!G$26+Switzerland!G$27+Netherlands!G$14+UK!G$18+'Czech Republic'!G$17+'Czech Republic'!G$18+'Czech Republic'!G$19+'Czech Republic'!G$20+France!G$31+France!G$35+France!G$36+France!G$37+France!G$30+Belgium!G$18</f>
        <v>2852.8349375136318</v>
      </c>
      <c r="H43" s="54">
        <f>Belgium!H$19+Denmark!H$27+Germany!H$25+Italy!H$28+Poland!H$24+Spain!H$15+Spain!H$16+Switzerland!H$23+Switzerland!H$25+Switzerland!H$26+Switzerland!H$27+Netherlands!H$14+UK!H$18+'Czech Republic'!H$17+'Czech Republic'!H$18+'Czech Republic'!H$19+'Czech Republic'!H$20+France!H$31+France!H$35+France!H$36+France!H$37+France!H$30+Belgium!H$18</f>
        <v>3017.836566068067</v>
      </c>
      <c r="I43" s="54">
        <f>Belgium!I$19+Denmark!I$27+Germany!I$25+Italy!I$28+Poland!I$24+Spain!I$15+Spain!I$16+Switzerland!I$23+Switzerland!I$25+Switzerland!I$26+Switzerland!I$27+Netherlands!I$14+UK!I$18+'Czech Republic'!I$17+'Czech Republic'!I$18+'Czech Republic'!I$19+'Czech Republic'!I$20+France!I$31+France!I$35+France!I$36+France!I$37+France!I$30+Belgium!I$18</f>
        <v>2878.7546285520884</v>
      </c>
      <c r="J43" s="54">
        <f>Belgium!J$19+Denmark!J$27+Germany!J$25+Italy!J$28+Poland!J$24+Spain!J$15+Spain!J$16+Switzerland!J$23+Switzerland!J$25+Switzerland!J$26+Switzerland!J$27+Netherlands!J$14+UK!J$18+'Czech Republic'!J$17+'Czech Republic'!J$18+'Czech Republic'!J$19+'Czech Republic'!J$20+France!J$31+France!J$35+France!J$36+France!J$37+France!J$30+Belgium!J$18</f>
        <v>2880.5716912176722</v>
      </c>
      <c r="K43" s="54">
        <f>Belgium!K$19+Denmark!K$27+Germany!K$25+Italy!K$28+Poland!K$24+Spain!K$15+Spain!K$16+Switzerland!K$23+Switzerland!K$25+Switzerland!K$26+Switzerland!K$27+Netherlands!K$14+UK!K$18+'Czech Republic'!K$17+'Czech Republic'!K$18+'Czech Republic'!K$19+'Czech Republic'!K$20+France!K$31+France!K$35+France!K$36+France!K$37+France!K$30+Belgium!K$18</f>
        <v>3354.7020000000002</v>
      </c>
      <c r="L43" s="54">
        <f>Belgium!L$19+Denmark!L$27+Germany!L$25+Italy!L$28+Poland!L$24+Spain!L$15+Spain!L$16+Switzerland!L$23+Switzerland!L$25+Switzerland!L$26+Switzerland!L$27+Netherlands!L$14+UK!L$18+'Czech Republic'!L$17+'Czech Republic'!L$18+'Czech Republic'!L$19+'Czech Republic'!L$20+France!L$31+France!L$35+France!L$36+France!L$37+France!L$30+Belgium!L$18</f>
        <v>684</v>
      </c>
      <c r="M43" s="33">
        <f>Belgium!M$19+Denmark!M$27+Germany!M$25+Italy!M$28+Poland!M$24+Spain!M$15+Spain!M$16+Switzerland!M$23+Switzerland!M$25+Switzerland!M$26+Switzerland!M$27+Netherlands!M$14+UK!M$18+'Czech Republic'!M$17+'Czech Republic'!M$18+'Czech Republic'!M$19+'Czech Republic'!M$20+France!M$31+France!M$35+France!M$36+France!M$37+France!M$30+Belgium!M$18</f>
        <v>637</v>
      </c>
      <c r="N43" s="54">
        <f>Belgium!N$19+Denmark!N$27+Germany!N$25+Italy!N$28+Poland!N$24+Spain!N$15+Spain!N$16+Switzerland!N$23+Switzerland!N$25+Switzerland!N$26+Switzerland!N$27+Netherlands!N$14+UK!N$18+'Czech Republic'!N$17+'Czech Republic'!N$18+'Czech Republic'!N$19+'Czech Republic'!N$20+France!N$31+France!N$35+France!N$36+France!N$37+France!N$30+Belgium!N$18</f>
        <v>456.15361307793779</v>
      </c>
      <c r="O43" s="54">
        <f>Belgium!O$19+Denmark!O$27+Germany!O$25+Italy!O$28+Poland!O$24+Spain!O$15+Spain!O$16+Switzerland!O$23+Switzerland!O$25+Switzerland!O$26+Switzerland!O$27+Netherlands!O$14+UK!O$18+'Czech Republic'!O$17+'Czech Republic'!O$18+'Czech Republic'!O$19+'Czech Republic'!O$20+France!O$31+France!O$35+France!O$36+France!O$37+France!O$30+Belgium!O$18</f>
        <v>1966.2290439664196</v>
      </c>
      <c r="P43" s="54">
        <f>Belgium!P$19+Denmark!P$27+Germany!P$25+Italy!P$28+Poland!P$24+Spain!P$15+Spain!P$16+Switzerland!P$23+Switzerland!P$25+Switzerland!P$26+Switzerland!P$27+Netherlands!P$14+UK!P$18+'Czech Republic'!P$17+'Czech Republic'!P$18+'Czech Republic'!P$19+'Czech Republic'!P$20+France!P$31+France!P$35+France!P$36+France!P$37+France!P$30+Belgium!P$18</f>
        <v>2251.9205679153688</v>
      </c>
      <c r="Q43" s="54">
        <f>Belgium!Q$19+Denmark!Q$27+Germany!Q$25+Italy!Q$28+Poland!Q$24+Spain!Q$15+Spain!Q$16+Switzerland!Q$23+Switzerland!Q$25+Switzerland!Q$26+Switzerland!Q$27+Netherlands!Q$14+UK!Q$18+'Czech Republic'!Q$17+'Czech Republic'!Q$18+'Czech Republic'!Q$19+'Czech Republic'!Q$20+France!Q$31+France!Q$35+France!Q$36+France!Q$37+France!Q$30+Belgium!Q$18</f>
        <v>41</v>
      </c>
      <c r="R43" s="54">
        <f>Belgium!R$19+Denmark!R$27+Germany!R$25+Italy!R$28+Poland!R$24+Spain!R$15+Spain!R$16+Switzerland!R$23+Switzerland!R$25+Switzerland!R$26+Switzerland!R$27+Netherlands!R$14+UK!R$18+'Czech Republic'!R$17+'Czech Republic'!R$18+'Czech Republic'!R$19+'Czech Republic'!R$20+France!R$31+France!R$35+France!R$36+France!R$37+France!R$30+Belgium!R$18</f>
        <v>2871.4694172908448</v>
      </c>
      <c r="S43" s="54">
        <f>Belgium!S$19+Denmark!S$27+Germany!S$25+Italy!S$28+Poland!S$24+Spain!S$15+Spain!S$16+Switzerland!S$23+Switzerland!S$25+Switzerland!S$26+Switzerland!S$27+Netherlands!S$14+UK!S$18+'Czech Republic'!S$17+'Czech Republic'!S$18+'Czech Republic'!S$19+'Czech Republic'!S$20+France!S$31+France!S$35+France!S$36+France!S$37+France!S$30+Belgium!S$18</f>
        <v>466.41065380652441</v>
      </c>
      <c r="T43" s="54">
        <f>Belgium!T$19+Denmark!T$27+Germany!T$25+Italy!T$28+Poland!T$24+Spain!T$15+Spain!T$16+Switzerland!T$23+Switzerland!T$25+Switzerland!T$26+Switzerland!T$27+Netherlands!T$14+UK!T$18+'Czech Republic'!T$17+'Czech Republic'!T$18+'Czech Republic'!T$19+'Czech Republic'!T$20+France!T$31+France!T$35+France!T$36+France!T$37+France!T$30+Belgium!T$18</f>
        <v>820</v>
      </c>
      <c r="U43" s="62">
        <f>Belgium!U$19+Denmark!U$27+Germany!U$25+Italy!U$28+Poland!U$24+Spain!U$15+Spain!U$16+Switzerland!U$23+Switzerland!U$25+Switzerland!U$26+Switzerland!U$27+Netherlands!U$14+UK!U$18+'Czech Republic'!U$17+'Czech Republic'!U$18+'Czech Republic'!U$19+'Czech Republic'!U$20+France!U$31+France!U$35+France!U$36+France!U$37+France!U$30+Belgium!U$18</f>
        <v>376</v>
      </c>
    </row>
    <row r="44" spans="1:21" s="45" customFormat="1" ht="13.8" thickBot="1" x14ac:dyDescent="0.3">
      <c r="A44" s="55" t="s">
        <v>91</v>
      </c>
      <c r="B44" s="77">
        <f t="shared" si="3"/>
        <v>-0.18888085273534022</v>
      </c>
      <c r="C44" s="138">
        <f t="shared" ref="C44:D44" si="4">SUM(C36:C43)</f>
        <v>-101877.02373514962</v>
      </c>
      <c r="D44" s="87">
        <f t="shared" si="4"/>
        <v>-88148.982391921003</v>
      </c>
      <c r="E44" s="40">
        <f>SUM(E36:E43)</f>
        <v>96913.082060491317</v>
      </c>
      <c r="F44" s="87">
        <f>SUM(F36:F43)</f>
        <v>119480.6982270258</v>
      </c>
      <c r="G44" s="87">
        <f>SUM(G36:G43)</f>
        <v>100523.63013093408</v>
      </c>
      <c r="H44" s="87">
        <f>SUM(H36:H43)</f>
        <v>167915.26005604299</v>
      </c>
      <c r="I44" s="87">
        <f>SUM(I36:I43)</f>
        <v>133731.76026694555</v>
      </c>
      <c r="J44" s="87">
        <f t="shared" ref="J44:O44" si="5">SUM(J36:J43)</f>
        <v>103834.66099430954</v>
      </c>
      <c r="K44" s="87">
        <f t="shared" si="5"/>
        <v>141038.05398112294</v>
      </c>
      <c r="L44" s="87">
        <f t="shared" si="5"/>
        <v>100489.519</v>
      </c>
      <c r="M44" s="72">
        <f t="shared" si="5"/>
        <v>111830</v>
      </c>
      <c r="N44" s="72">
        <f t="shared" si="5"/>
        <v>135370.89282760106</v>
      </c>
      <c r="O44" s="72">
        <f t="shared" si="5"/>
        <v>106641.47949679261</v>
      </c>
      <c r="P44" s="72">
        <f t="shared" ref="P44:U44" si="6">SUM(P36:P43)</f>
        <v>110113.95572373939</v>
      </c>
      <c r="Q44" s="72">
        <f t="shared" si="6"/>
        <v>43874.644313676508</v>
      </c>
      <c r="R44" s="72">
        <f t="shared" si="6"/>
        <v>105475.61412205466</v>
      </c>
      <c r="S44" s="72">
        <f t="shared" si="6"/>
        <v>99913.259798806903</v>
      </c>
      <c r="T44" s="72">
        <f t="shared" si="6"/>
        <v>89072</v>
      </c>
      <c r="U44" s="73">
        <f t="shared" si="6"/>
        <v>33634</v>
      </c>
    </row>
    <row r="45" spans="1:21" s="45" customFormat="1" x14ac:dyDescent="0.25">
      <c r="B45" s="3" t="s">
        <v>166</v>
      </c>
    </row>
    <row r="46" spans="1:21" s="45" customFormat="1" x14ac:dyDescent="0.25"/>
    <row r="47" spans="1:21" s="45" customFormat="1" x14ac:dyDescent="0.25">
      <c r="D47" s="50"/>
      <c r="E47" s="50"/>
    </row>
    <row r="52" spans="6:6" x14ac:dyDescent="0.25">
      <c r="F52" s="1"/>
    </row>
  </sheetData>
  <phoneticPr fontId="2" type="noConversion"/>
  <conditionalFormatting sqref="E1">
    <cfRule type="expression" dxfId="26" priority="2">
      <formula>ISBLANK(XFD1)=FALSE</formula>
    </cfRule>
  </conditionalFormatting>
  <conditionalFormatting sqref="E35">
    <cfRule type="expression" dxfId="25" priority="1">
      <formula>ISBLANK(XFD35)=FALSE</formula>
    </cfRule>
  </conditionalFormatting>
  <pageMargins left="0.75" right="0.75" top="1" bottom="1" header="0.5" footer="0.5"/>
  <pageSetup paperSize="9" fitToHeight="3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Normal="100" workbookViewId="0"/>
  </sheetViews>
  <sheetFormatPr defaultColWidth="9.109375" defaultRowHeight="13.2" x14ac:dyDescent="0.25"/>
  <cols>
    <col min="1" max="1" width="19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2" width="11.44140625" customWidth="1"/>
    <col min="13" max="23" width="10.109375" bestFit="1" customWidth="1"/>
  </cols>
  <sheetData>
    <row r="1" spans="1:23" ht="13.8" thickBot="1" x14ac:dyDescent="0.3">
      <c r="A1" s="34" t="s">
        <v>90</v>
      </c>
      <c r="B1" s="119" t="s">
        <v>170</v>
      </c>
      <c r="C1" s="44" t="s">
        <v>171</v>
      </c>
      <c r="D1" s="67" t="s">
        <v>168</v>
      </c>
      <c r="E1" s="91">
        <v>45778</v>
      </c>
      <c r="F1" s="97">
        <v>45413</v>
      </c>
      <c r="G1" s="97">
        <v>45047</v>
      </c>
      <c r="H1" s="97">
        <v>44682</v>
      </c>
      <c r="I1" s="97">
        <v>44317</v>
      </c>
      <c r="J1" s="97">
        <v>43952</v>
      </c>
      <c r="K1" s="97">
        <v>43586</v>
      </c>
      <c r="L1" s="97">
        <v>43221</v>
      </c>
      <c r="M1" s="20">
        <v>42856</v>
      </c>
      <c r="N1" s="20">
        <v>42491</v>
      </c>
      <c r="O1" s="20">
        <v>42125</v>
      </c>
      <c r="P1" s="20">
        <v>41760</v>
      </c>
      <c r="Q1" s="20">
        <v>41395</v>
      </c>
      <c r="R1" s="20">
        <v>41030</v>
      </c>
      <c r="S1" s="20">
        <v>40664</v>
      </c>
      <c r="T1" s="20">
        <v>40299</v>
      </c>
      <c r="U1" s="20">
        <v>39934</v>
      </c>
      <c r="V1" s="20">
        <v>39569</v>
      </c>
      <c r="W1" s="21">
        <v>39203</v>
      </c>
    </row>
    <row r="2" spans="1:23" x14ac:dyDescent="0.25">
      <c r="A2" s="16" t="s">
        <v>93</v>
      </c>
      <c r="B2" s="22">
        <f t="shared" ref="B2:B21" si="0">IFERROR(((E2-F2)/F2),"")</f>
        <v>-1</v>
      </c>
      <c r="C2" s="102">
        <v>-1.0416666666666667</v>
      </c>
      <c r="D2" s="1">
        <v>-1.2457044673539457</v>
      </c>
      <c r="E2" s="92">
        <v>0</v>
      </c>
      <c r="F2" s="1">
        <v>119.58762886597938</v>
      </c>
      <c r="G2" s="1">
        <v>455.38782523318605</v>
      </c>
      <c r="H2" s="1">
        <v>146.42857142857142</v>
      </c>
      <c r="I2" s="1">
        <v>152.70000000000002</v>
      </c>
      <c r="J2" s="1">
        <v>88.36</v>
      </c>
      <c r="K2" s="33">
        <f>297+105</f>
        <v>402</v>
      </c>
      <c r="L2" s="1">
        <v>23</v>
      </c>
      <c r="M2" s="1">
        <v>0</v>
      </c>
      <c r="N2" s="1">
        <v>440.07</v>
      </c>
      <c r="O2" s="1">
        <v>438.56</v>
      </c>
      <c r="P2" s="1">
        <v>1077.5900000000001</v>
      </c>
      <c r="Q2" s="1">
        <v>604</v>
      </c>
      <c r="R2" s="1">
        <v>1233</v>
      </c>
      <c r="S2" s="1">
        <v>1513</v>
      </c>
      <c r="T2" s="1">
        <v>1527</v>
      </c>
      <c r="U2" s="1">
        <v>2911</v>
      </c>
      <c r="V2" s="1">
        <v>1901</v>
      </c>
      <c r="W2" s="24">
        <v>1613</v>
      </c>
    </row>
    <row r="3" spans="1:23" x14ac:dyDescent="0.25">
      <c r="A3" s="16" t="s">
        <v>4</v>
      </c>
      <c r="B3" s="22" t="str">
        <f t="shared" si="0"/>
        <v/>
      </c>
      <c r="C3" s="102">
        <v>0</v>
      </c>
      <c r="D3" s="1">
        <v>0</v>
      </c>
      <c r="E3" s="92">
        <v>0</v>
      </c>
      <c r="F3" s="1">
        <v>0</v>
      </c>
      <c r="G3" s="1">
        <v>9.5238095238095237</v>
      </c>
      <c r="H3" s="1">
        <v>0</v>
      </c>
      <c r="I3" s="1">
        <v>0</v>
      </c>
      <c r="J3" s="1">
        <v>0</v>
      </c>
      <c r="K3" s="33"/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/>
      <c r="T3" s="1">
        <v>0</v>
      </c>
      <c r="U3" s="1">
        <v>2</v>
      </c>
      <c r="V3" s="1">
        <v>0</v>
      </c>
      <c r="W3" s="24">
        <v>0</v>
      </c>
    </row>
    <row r="4" spans="1:23" x14ac:dyDescent="0.25">
      <c r="A4" s="16" t="s">
        <v>11</v>
      </c>
      <c r="B4" s="22">
        <f t="shared" si="0"/>
        <v>-0.14393754715886012</v>
      </c>
      <c r="C4" s="102">
        <v>-837.20592169509564</v>
      </c>
      <c r="D4" s="1">
        <v>-1486.675059157988</v>
      </c>
      <c r="E4" s="92">
        <v>1768.0532246463677</v>
      </c>
      <c r="F4" s="1">
        <v>2065.3320546631503</v>
      </c>
      <c r="G4" s="1">
        <v>5026.3377515954835</v>
      </c>
      <c r="H4" s="1">
        <v>2781.7501227295043</v>
      </c>
      <c r="I4" s="1">
        <v>1373.65</v>
      </c>
      <c r="J4" s="1">
        <v>1942.82</v>
      </c>
      <c r="K4" s="33">
        <f>4690+1942</f>
        <v>6632</v>
      </c>
      <c r="L4" s="1">
        <v>831</v>
      </c>
      <c r="M4" s="1">
        <v>165.64</v>
      </c>
      <c r="N4" s="1">
        <v>2496.4899999999998</v>
      </c>
      <c r="O4" s="1">
        <v>966.21</v>
      </c>
      <c r="P4" s="1">
        <v>3925.4</v>
      </c>
      <c r="Q4" s="1">
        <v>483</v>
      </c>
      <c r="R4" s="1">
        <v>1226</v>
      </c>
      <c r="S4" s="1">
        <v>4</v>
      </c>
      <c r="T4" s="1">
        <v>2094</v>
      </c>
      <c r="U4" s="1">
        <v>413</v>
      </c>
      <c r="V4" s="1">
        <v>106</v>
      </c>
      <c r="W4" s="24">
        <v>100</v>
      </c>
    </row>
    <row r="5" spans="1:23" x14ac:dyDescent="0.25">
      <c r="A5" s="16" t="s">
        <v>2</v>
      </c>
      <c r="B5" s="22">
        <f t="shared" si="0"/>
        <v>-1</v>
      </c>
      <c r="C5" s="102">
        <v>-2.4390243902439024</v>
      </c>
      <c r="D5" s="1">
        <v>-578.67271695972772</v>
      </c>
      <c r="E5" s="92">
        <v>0</v>
      </c>
      <c r="F5" s="1">
        <v>262.7906976744186</v>
      </c>
      <c r="G5" s="1">
        <v>1427.3809523809523</v>
      </c>
      <c r="H5" s="1">
        <v>147.61904761904762</v>
      </c>
      <c r="I5" s="1">
        <v>0.72800000000000009</v>
      </c>
      <c r="J5" s="1">
        <v>2</v>
      </c>
      <c r="K5" s="33">
        <v>1895</v>
      </c>
      <c r="L5" s="1">
        <v>0</v>
      </c>
      <c r="M5" s="1">
        <v>0</v>
      </c>
      <c r="N5" s="1">
        <v>49.49</v>
      </c>
      <c r="O5" s="1">
        <v>319.16000000000003</v>
      </c>
      <c r="P5" s="1">
        <v>219.17</v>
      </c>
      <c r="Q5" s="1">
        <v>28</v>
      </c>
      <c r="R5" s="1">
        <v>537</v>
      </c>
      <c r="S5" s="1">
        <v>373</v>
      </c>
      <c r="T5" s="1">
        <v>445</v>
      </c>
      <c r="U5" s="1">
        <v>143</v>
      </c>
      <c r="V5" s="1">
        <v>403</v>
      </c>
      <c r="W5" s="24">
        <v>1379</v>
      </c>
    </row>
    <row r="6" spans="1:23" x14ac:dyDescent="0.25">
      <c r="A6" s="16" t="s">
        <v>151</v>
      </c>
      <c r="B6" s="22">
        <f t="shared" si="0"/>
        <v>-0.39258750857927249</v>
      </c>
      <c r="C6" s="102">
        <v>-1620.9302325581396</v>
      </c>
      <c r="D6" s="1">
        <v>-1385.0822461712987</v>
      </c>
      <c r="E6" s="92">
        <v>1029.0697674418604</v>
      </c>
      <c r="F6" s="1">
        <v>1694.1860465116279</v>
      </c>
      <c r="G6" s="1">
        <v>4034.5238095238096</v>
      </c>
      <c r="H6" s="1">
        <v>1584.5238095238096</v>
      </c>
      <c r="I6" s="1">
        <v>4900.45</v>
      </c>
      <c r="J6" s="1">
        <v>1419.58</v>
      </c>
      <c r="K6" s="33">
        <v>5753</v>
      </c>
      <c r="L6" s="1">
        <v>1113</v>
      </c>
      <c r="M6" s="1">
        <v>687.81</v>
      </c>
      <c r="N6" s="1">
        <v>3348.15</v>
      </c>
      <c r="O6" s="1">
        <v>3334.01</v>
      </c>
      <c r="P6" s="1">
        <v>2074.54</v>
      </c>
      <c r="Q6" s="1">
        <v>933</v>
      </c>
      <c r="R6" s="1">
        <v>1223</v>
      </c>
      <c r="S6" s="1"/>
      <c r="T6" s="1"/>
      <c r="U6" s="1"/>
      <c r="V6" s="1"/>
      <c r="W6" s="24"/>
    </row>
    <row r="7" spans="1:23" x14ac:dyDescent="0.25">
      <c r="A7" s="16" t="s">
        <v>12</v>
      </c>
      <c r="B7" s="22">
        <f t="shared" si="0"/>
        <v>-0.14192343604108298</v>
      </c>
      <c r="C7" s="102">
        <v>-553.34656834940438</v>
      </c>
      <c r="D7" s="1">
        <v>-164.40726035167336</v>
      </c>
      <c r="E7" s="92">
        <v>1068.6046511627908</v>
      </c>
      <c r="F7" s="1">
        <v>1245.3488372093022</v>
      </c>
      <c r="G7" s="1">
        <v>1367.8571428571429</v>
      </c>
      <c r="H7" s="1">
        <v>1169.047619047619</v>
      </c>
      <c r="I7" s="1">
        <v>522.6</v>
      </c>
      <c r="J7" s="1">
        <v>720.12</v>
      </c>
      <c r="K7" s="33">
        <f>2180+31</f>
        <v>2211</v>
      </c>
      <c r="L7" s="1">
        <v>378</v>
      </c>
      <c r="M7" s="68">
        <v>8.08</v>
      </c>
      <c r="N7" s="68">
        <v>1166.55</v>
      </c>
      <c r="O7" s="68">
        <v>1050.4000000000001</v>
      </c>
      <c r="P7" s="68">
        <v>1269.57</v>
      </c>
      <c r="Q7" s="68">
        <v>224</v>
      </c>
      <c r="R7" s="68">
        <v>1374</v>
      </c>
      <c r="S7" s="68">
        <v>287</v>
      </c>
      <c r="T7" s="68">
        <v>810</v>
      </c>
      <c r="U7" s="68">
        <v>404</v>
      </c>
      <c r="V7" s="1">
        <v>600</v>
      </c>
      <c r="W7" s="24">
        <v>38</v>
      </c>
    </row>
    <row r="8" spans="1:23" x14ac:dyDescent="0.25">
      <c r="A8" s="16" t="s">
        <v>9</v>
      </c>
      <c r="B8" s="22">
        <f t="shared" si="0"/>
        <v>-0.78325336821876701</v>
      </c>
      <c r="C8" s="102">
        <v>-2380.6865494032545</v>
      </c>
      <c r="D8" s="1">
        <v>-3415.6432005835868</v>
      </c>
      <c r="E8" s="92">
        <v>2240.3500359625987</v>
      </c>
      <c r="F8" s="1">
        <v>10336.262287221291</v>
      </c>
      <c r="G8" s="1">
        <v>11471.023564064802</v>
      </c>
      <c r="H8" s="1">
        <v>10166.87530682376</v>
      </c>
      <c r="I8" s="1">
        <v>8576.5500000000011</v>
      </c>
      <c r="J8" s="1">
        <v>3900.68</v>
      </c>
      <c r="K8" s="33">
        <f>5751+2539</f>
        <v>8290</v>
      </c>
      <c r="L8" s="1">
        <v>2970</v>
      </c>
      <c r="M8" s="1">
        <v>137.36000000000001</v>
      </c>
      <c r="N8" s="1">
        <v>5539.64</v>
      </c>
      <c r="O8" s="1">
        <v>5281.91</v>
      </c>
      <c r="P8" s="1">
        <v>8027.39</v>
      </c>
      <c r="Q8" s="1">
        <v>1581</v>
      </c>
      <c r="R8" s="1">
        <v>4238</v>
      </c>
      <c r="S8" s="1">
        <v>8497</v>
      </c>
      <c r="T8" s="1">
        <v>4556</v>
      </c>
      <c r="U8" s="1">
        <v>7885</v>
      </c>
      <c r="V8" s="1">
        <v>2524</v>
      </c>
      <c r="W8" s="24">
        <v>1939</v>
      </c>
    </row>
    <row r="9" spans="1:23" x14ac:dyDescent="0.25">
      <c r="A9" s="16" t="s">
        <v>14</v>
      </c>
      <c r="B9" s="124" t="str">
        <f t="shared" si="0"/>
        <v/>
      </c>
      <c r="C9" s="106">
        <v>0</v>
      </c>
      <c r="D9" s="1">
        <v>0</v>
      </c>
      <c r="E9" s="92"/>
      <c r="F9" s="1"/>
      <c r="G9" s="1"/>
      <c r="H9" s="1"/>
      <c r="I9" s="1"/>
      <c r="J9" s="1"/>
      <c r="K9" s="33"/>
      <c r="L9" s="1"/>
      <c r="M9" s="1"/>
      <c r="N9" s="1"/>
      <c r="O9" s="1"/>
      <c r="P9" s="1"/>
      <c r="Q9" s="1">
        <v>0</v>
      </c>
      <c r="R9" s="1">
        <v>0</v>
      </c>
      <c r="S9" s="1">
        <v>0</v>
      </c>
      <c r="T9" s="1">
        <v>44</v>
      </c>
      <c r="U9" s="1">
        <v>7</v>
      </c>
      <c r="V9" s="1">
        <v>0</v>
      </c>
      <c r="W9" s="24">
        <v>44</v>
      </c>
    </row>
    <row r="10" spans="1:23" x14ac:dyDescent="0.25">
      <c r="A10" s="16" t="s">
        <v>3</v>
      </c>
      <c r="B10" s="124">
        <f t="shared" si="0"/>
        <v>-0.56712824165893683</v>
      </c>
      <c r="C10" s="106">
        <v>-1643.9347347051753</v>
      </c>
      <c r="D10" s="1">
        <v>-2498.5905999224215</v>
      </c>
      <c r="E10" s="92">
        <v>6075.221769359865</v>
      </c>
      <c r="F10" s="1">
        <v>14034.691920402782</v>
      </c>
      <c r="G10" s="1">
        <v>11235.775650466372</v>
      </c>
      <c r="H10" s="1">
        <v>16480.584192439863</v>
      </c>
      <c r="I10" s="1">
        <v>21459.75</v>
      </c>
      <c r="J10" s="1">
        <v>11802.58</v>
      </c>
      <c r="K10" s="33">
        <f>14095+1187</f>
        <v>15282</v>
      </c>
      <c r="L10" s="1">
        <v>10565</v>
      </c>
      <c r="M10" s="1">
        <v>9845.9699999999993</v>
      </c>
      <c r="N10" s="1">
        <v>24339.93</v>
      </c>
      <c r="O10" s="1">
        <v>29047.22</v>
      </c>
      <c r="P10" s="1">
        <v>16992.39</v>
      </c>
      <c r="Q10" s="1">
        <v>23101</v>
      </c>
      <c r="R10" s="1">
        <v>31735</v>
      </c>
      <c r="S10" s="1">
        <v>23214</v>
      </c>
      <c r="T10" s="1">
        <v>26037</v>
      </c>
      <c r="U10" s="1">
        <v>30671</v>
      </c>
      <c r="V10" s="1">
        <v>23550</v>
      </c>
      <c r="W10" s="24">
        <v>21168</v>
      </c>
    </row>
    <row r="11" spans="1:23" x14ac:dyDescent="0.25">
      <c r="A11" s="16" t="s">
        <v>17</v>
      </c>
      <c r="B11" s="124">
        <f t="shared" si="0"/>
        <v>-0.52631578947368418</v>
      </c>
      <c r="C11" s="106">
        <v>-38.428814520703348</v>
      </c>
      <c r="D11" s="1">
        <v>-200.36868973340898</v>
      </c>
      <c r="E11" s="92">
        <v>62.790697674418603</v>
      </c>
      <c r="F11" s="1">
        <v>132.55813953488371</v>
      </c>
      <c r="G11" s="1">
        <v>261.00883652430042</v>
      </c>
      <c r="H11" s="1">
        <v>91.666666666666671</v>
      </c>
      <c r="I11" s="1">
        <v>18.601700000000001</v>
      </c>
      <c r="J11" s="1">
        <v>0.28254000000000001</v>
      </c>
      <c r="K11" s="33">
        <v>5</v>
      </c>
      <c r="L11" s="1">
        <v>5</v>
      </c>
      <c r="M11" s="68">
        <v>0</v>
      </c>
      <c r="N11" s="68">
        <v>9.09</v>
      </c>
      <c r="O11" s="68">
        <v>160.59</v>
      </c>
      <c r="P11" s="68">
        <v>0</v>
      </c>
      <c r="Q11" s="68">
        <v>0</v>
      </c>
      <c r="R11" s="68">
        <v>11</v>
      </c>
      <c r="S11" s="68">
        <v>15</v>
      </c>
      <c r="T11" s="68">
        <v>0</v>
      </c>
      <c r="U11" s="68">
        <v>0</v>
      </c>
      <c r="V11" s="1">
        <v>0</v>
      </c>
      <c r="W11" s="24">
        <v>0</v>
      </c>
    </row>
    <row r="12" spans="1:23" x14ac:dyDescent="0.25">
      <c r="A12" s="17" t="s">
        <v>10</v>
      </c>
      <c r="B12" s="124">
        <f t="shared" si="0"/>
        <v>-0.79371051323915665</v>
      </c>
      <c r="C12" s="106">
        <v>-213.76464818052636</v>
      </c>
      <c r="D12" s="1">
        <v>-317.65920150360716</v>
      </c>
      <c r="E12" s="92">
        <v>313.52193718532726</v>
      </c>
      <c r="F12" s="1">
        <v>1519.8153919923279</v>
      </c>
      <c r="G12" s="1">
        <v>3635.2233676975943</v>
      </c>
      <c r="H12" s="1">
        <v>3120.6553755522827</v>
      </c>
      <c r="I12" s="1">
        <v>4152.6000000000004</v>
      </c>
      <c r="J12" s="1">
        <v>3882.52</v>
      </c>
      <c r="K12" s="33">
        <f>7318+1087</f>
        <v>8405</v>
      </c>
      <c r="L12" s="1">
        <v>1844</v>
      </c>
      <c r="M12" s="68">
        <v>102.01</v>
      </c>
      <c r="N12" s="68">
        <v>11725.99</v>
      </c>
      <c r="O12" s="68">
        <v>6371.31</v>
      </c>
      <c r="P12" s="68">
        <v>14994.43</v>
      </c>
      <c r="Q12" s="68">
        <v>9429</v>
      </c>
      <c r="R12" s="68">
        <v>13767</v>
      </c>
      <c r="S12" s="68">
        <v>12011</v>
      </c>
      <c r="T12" s="68">
        <v>14479</v>
      </c>
      <c r="U12" s="68">
        <v>12421</v>
      </c>
      <c r="V12" s="1">
        <v>7832</v>
      </c>
      <c r="W12" s="24">
        <v>11908</v>
      </c>
    </row>
    <row r="13" spans="1:23" x14ac:dyDescent="0.25">
      <c r="A13" s="17" t="s">
        <v>26</v>
      </c>
      <c r="B13" s="124">
        <f t="shared" si="0"/>
        <v>0.49787600629771556</v>
      </c>
      <c r="C13" s="106">
        <v>-104.31663265326029</v>
      </c>
      <c r="D13" s="1">
        <v>-173.54219294860172</v>
      </c>
      <c r="E13" s="92">
        <v>1208.8947494605609</v>
      </c>
      <c r="F13" s="1">
        <v>807.07264444977216</v>
      </c>
      <c r="G13" s="1">
        <v>2748.220422189494</v>
      </c>
      <c r="H13" s="1">
        <v>2397.9626902307314</v>
      </c>
      <c r="I13" s="1">
        <v>1606.0500000000002</v>
      </c>
      <c r="J13" s="1">
        <v>2527.66</v>
      </c>
      <c r="K13" s="33">
        <f>5143+422</f>
        <v>5565</v>
      </c>
      <c r="L13" s="1">
        <v>881</v>
      </c>
      <c r="M13" s="68">
        <v>119.18</v>
      </c>
      <c r="N13" s="68">
        <v>5079.6000000000004</v>
      </c>
      <c r="O13" s="68">
        <v>4788.47</v>
      </c>
      <c r="P13" s="68">
        <v>5309.58</v>
      </c>
      <c r="Q13" s="68">
        <v>3695</v>
      </c>
      <c r="R13" s="68">
        <v>5209</v>
      </c>
      <c r="S13" s="68">
        <v>5568</v>
      </c>
      <c r="T13" s="68">
        <v>6975</v>
      </c>
      <c r="U13" s="68">
        <v>4700</v>
      </c>
      <c r="V13" s="1">
        <v>4187</v>
      </c>
      <c r="W13" s="24">
        <v>5377</v>
      </c>
    </row>
    <row r="14" spans="1:23" x14ac:dyDescent="0.25">
      <c r="A14" s="16" t="s">
        <v>25</v>
      </c>
      <c r="B14" s="124" t="str">
        <f t="shared" si="0"/>
        <v/>
      </c>
      <c r="C14" s="106">
        <v>0</v>
      </c>
      <c r="D14" s="1">
        <v>0</v>
      </c>
      <c r="E14" s="92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33">
        <v>0</v>
      </c>
      <c r="L14" s="1">
        <v>0</v>
      </c>
      <c r="M14" s="68">
        <v>0</v>
      </c>
      <c r="N14" s="68">
        <v>2048.2800000000002</v>
      </c>
      <c r="O14" s="68">
        <v>1119.08</v>
      </c>
      <c r="P14" s="68">
        <v>2407.84</v>
      </c>
      <c r="Q14" s="68">
        <v>1720</v>
      </c>
      <c r="R14" s="68">
        <v>2791</v>
      </c>
      <c r="S14" s="68">
        <v>2485</v>
      </c>
      <c r="T14" s="68">
        <v>3482</v>
      </c>
      <c r="U14" s="68">
        <v>2849</v>
      </c>
      <c r="V14" s="1">
        <v>3189</v>
      </c>
      <c r="W14" s="24">
        <v>3126</v>
      </c>
    </row>
    <row r="15" spans="1:23" x14ac:dyDescent="0.25">
      <c r="A15" s="16" t="s">
        <v>94</v>
      </c>
      <c r="B15" s="124" t="str">
        <f t="shared" si="0"/>
        <v/>
      </c>
      <c r="C15" s="106">
        <v>-177.43943859361872</v>
      </c>
      <c r="D15" s="1">
        <v>-28.048780487804876</v>
      </c>
      <c r="E15" s="92">
        <v>15.751618316950371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33">
        <v>0</v>
      </c>
      <c r="L15" s="1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1">
        <v>0</v>
      </c>
      <c r="W15" s="24">
        <v>0</v>
      </c>
    </row>
    <row r="16" spans="1:23" x14ac:dyDescent="0.25">
      <c r="A16" s="16" t="s">
        <v>13</v>
      </c>
      <c r="B16" s="124">
        <f t="shared" si="0"/>
        <v>-0.35895045067150866</v>
      </c>
      <c r="C16" s="106">
        <v>-875.09926262053307</v>
      </c>
      <c r="D16" s="1">
        <v>-873.27760226925011</v>
      </c>
      <c r="E16" s="92">
        <v>939.53488372093022</v>
      </c>
      <c r="F16" s="1">
        <v>1465.6197554543273</v>
      </c>
      <c r="G16" s="1">
        <v>3835.9720176730489</v>
      </c>
      <c r="H16" s="1">
        <v>1905.4614629356897</v>
      </c>
      <c r="I16" s="1">
        <v>387</v>
      </c>
      <c r="J16" s="1">
        <v>415.84</v>
      </c>
      <c r="K16" s="33">
        <v>567</v>
      </c>
      <c r="L16" s="1">
        <v>385</v>
      </c>
      <c r="M16" s="68">
        <v>13.13</v>
      </c>
      <c r="N16" s="68">
        <v>688.82</v>
      </c>
      <c r="O16" s="68">
        <v>279.77</v>
      </c>
      <c r="P16" s="68">
        <v>926.29</v>
      </c>
      <c r="Q16" s="68">
        <v>487</v>
      </c>
      <c r="R16" s="68">
        <v>564</v>
      </c>
      <c r="S16" s="68">
        <v>1258</v>
      </c>
      <c r="T16" s="68">
        <v>965</v>
      </c>
      <c r="U16" s="68">
        <v>977</v>
      </c>
      <c r="V16" s="1">
        <v>259</v>
      </c>
      <c r="W16" s="24">
        <v>507</v>
      </c>
    </row>
    <row r="17" spans="1:24" x14ac:dyDescent="0.25">
      <c r="A17" s="118" t="s">
        <v>132</v>
      </c>
      <c r="B17" s="124">
        <f t="shared" si="0"/>
        <v>-0.53533175624361673</v>
      </c>
      <c r="C17" s="106">
        <v>-117.63350262068911</v>
      </c>
      <c r="D17" s="1">
        <v>-297.12020230667417</v>
      </c>
      <c r="E17" s="92">
        <v>638.10836729801008</v>
      </c>
      <c r="F17" s="1">
        <v>1373.2558139534883</v>
      </c>
      <c r="G17" s="1">
        <v>3143.2376043200788</v>
      </c>
      <c r="H17" s="1">
        <v>1422.6067746686304</v>
      </c>
      <c r="I17" s="1">
        <v>1572.6</v>
      </c>
      <c r="J17" s="1">
        <v>1579.74</v>
      </c>
      <c r="K17" s="33">
        <v>1441</v>
      </c>
      <c r="L17" s="1">
        <v>313</v>
      </c>
      <c r="M17" s="68"/>
      <c r="N17" s="68"/>
      <c r="O17" s="68"/>
      <c r="P17" s="68"/>
      <c r="Q17" s="68"/>
      <c r="R17" s="68"/>
      <c r="S17" s="68"/>
      <c r="T17" s="68"/>
      <c r="U17" s="68"/>
      <c r="V17" s="1"/>
      <c r="W17" s="24"/>
    </row>
    <row r="18" spans="1:24" x14ac:dyDescent="0.25">
      <c r="A18" s="16" t="s">
        <v>174</v>
      </c>
      <c r="B18" s="124" t="str">
        <f t="shared" si="0"/>
        <v/>
      </c>
      <c r="C18" s="106">
        <v>0</v>
      </c>
      <c r="D18" s="1">
        <v>0</v>
      </c>
      <c r="E18" s="92"/>
      <c r="F18" s="1"/>
      <c r="G18" s="1"/>
      <c r="H18" s="1"/>
      <c r="I18" s="1">
        <v>0</v>
      </c>
      <c r="J18" s="1">
        <v>0</v>
      </c>
      <c r="K18" s="33"/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8</v>
      </c>
      <c r="U18" s="1">
        <v>8</v>
      </c>
      <c r="V18" s="1">
        <v>23</v>
      </c>
      <c r="W18" s="24">
        <v>0</v>
      </c>
    </row>
    <row r="19" spans="1:24" x14ac:dyDescent="0.25">
      <c r="A19" s="16" t="s">
        <v>95</v>
      </c>
      <c r="B19" s="22">
        <f t="shared" si="0"/>
        <v>0.11718533567273064</v>
      </c>
      <c r="C19" s="102">
        <v>-441.91588309134113</v>
      </c>
      <c r="D19" s="1">
        <v>-365.08029819719195</v>
      </c>
      <c r="E19" s="92">
        <v>145.025173819228</v>
      </c>
      <c r="F19" s="1">
        <v>129.81299448573483</v>
      </c>
      <c r="G19" s="1">
        <v>1088.745704467354</v>
      </c>
      <c r="H19" s="1">
        <v>342.26804123711338</v>
      </c>
      <c r="I19" s="1">
        <v>0</v>
      </c>
      <c r="J19" s="1">
        <v>36.46</v>
      </c>
      <c r="K19" s="33">
        <f>355+2390</f>
        <v>2745</v>
      </c>
      <c r="L19" s="1">
        <v>0</v>
      </c>
      <c r="M19" s="1">
        <v>0</v>
      </c>
      <c r="N19" s="1">
        <v>1280.5899999999999</v>
      </c>
      <c r="O19" s="1">
        <v>1692.4</v>
      </c>
      <c r="P19" s="1">
        <v>1403.45</v>
      </c>
      <c r="Q19" s="1">
        <v>343</v>
      </c>
      <c r="R19" s="1">
        <v>2066</v>
      </c>
      <c r="S19" s="1">
        <v>1317</v>
      </c>
      <c r="T19" s="1">
        <v>1461</v>
      </c>
      <c r="U19" s="1">
        <v>0</v>
      </c>
      <c r="V19" s="1">
        <v>0</v>
      </c>
      <c r="W19" s="24">
        <v>0</v>
      </c>
    </row>
    <row r="20" spans="1:24" ht="13.8" thickBot="1" x14ac:dyDescent="0.3">
      <c r="A20" s="18" t="s">
        <v>57</v>
      </c>
      <c r="B20" s="23">
        <f t="shared" si="0"/>
        <v>-0.76582445430479806</v>
      </c>
      <c r="C20" s="103">
        <v>-608.13024576391774</v>
      </c>
      <c r="D20" s="9">
        <v>-1455.8583280705143</v>
      </c>
      <c r="E20" s="92">
        <v>595.96020139055383</v>
      </c>
      <c r="F20" s="9">
        <v>2544.9292735555023</v>
      </c>
      <c r="G20" s="9">
        <v>3166.887579774178</v>
      </c>
      <c r="H20" s="9">
        <v>1757.2778595974471</v>
      </c>
      <c r="I20" s="9">
        <v>1694.2</v>
      </c>
      <c r="J20" s="9">
        <v>896.04</v>
      </c>
      <c r="K20" s="32">
        <f>719+471</f>
        <v>1190</v>
      </c>
      <c r="L20" s="9">
        <v>1</v>
      </c>
      <c r="M20" s="9">
        <v>54</v>
      </c>
      <c r="N20" s="69">
        <v>105.03</v>
      </c>
      <c r="O20" s="69">
        <v>255</v>
      </c>
      <c r="P20" s="69">
        <v>1001.4</v>
      </c>
      <c r="Q20" s="69">
        <v>120</v>
      </c>
      <c r="R20" s="69">
        <v>90</v>
      </c>
      <c r="S20" s="69">
        <v>446</v>
      </c>
      <c r="T20" s="69">
        <v>66</v>
      </c>
      <c r="U20" s="69">
        <v>46</v>
      </c>
      <c r="V20" s="9">
        <v>65</v>
      </c>
      <c r="W20" s="26">
        <v>104</v>
      </c>
    </row>
    <row r="21" spans="1:24" ht="13.8" thickBot="1" x14ac:dyDescent="0.3">
      <c r="A21" s="27" t="s">
        <v>22</v>
      </c>
      <c r="B21" s="28">
        <f t="shared" si="0"/>
        <v>-0.5732746377967316</v>
      </c>
      <c r="C21" s="125">
        <v>-9616.3131258125777</v>
      </c>
      <c r="D21" s="29">
        <v>-13241.272083131109</v>
      </c>
      <c r="E21" s="40">
        <f t="shared" ref="E21" si="1">SUM(E2:E20)</f>
        <v>16100.887077439458</v>
      </c>
      <c r="F21" s="29">
        <f t="shared" ref="F21:K21" si="2">SUM(F2:F20)</f>
        <v>37731.263485974581</v>
      </c>
      <c r="G21" s="29">
        <f t="shared" si="2"/>
        <v>52907.106038291611</v>
      </c>
      <c r="H21" s="29">
        <f t="shared" si="2"/>
        <v>43514.727540500731</v>
      </c>
      <c r="I21" s="29">
        <f t="shared" si="2"/>
        <v>46417.479699999996</v>
      </c>
      <c r="J21" s="29">
        <f t="shared" si="2"/>
        <v>29214.682540000002</v>
      </c>
      <c r="K21" s="29">
        <f t="shared" si="2"/>
        <v>60383</v>
      </c>
      <c r="L21" s="29">
        <f t="shared" ref="L21:Q21" si="3">SUM(L2:L20)</f>
        <v>19309</v>
      </c>
      <c r="M21" s="29">
        <f t="shared" si="3"/>
        <v>11133.179999999998</v>
      </c>
      <c r="N21" s="29">
        <f t="shared" si="3"/>
        <v>58317.719999999987</v>
      </c>
      <c r="O21" s="29">
        <f t="shared" si="3"/>
        <v>55104.09</v>
      </c>
      <c r="P21" s="29">
        <f t="shared" si="3"/>
        <v>59629.040000000008</v>
      </c>
      <c r="Q21" s="29">
        <f t="shared" si="3"/>
        <v>42748</v>
      </c>
      <c r="R21" s="29">
        <f t="shared" ref="R21:W21" si="4">SUM(R2:R20)</f>
        <v>66064</v>
      </c>
      <c r="S21" s="29">
        <f t="shared" si="4"/>
        <v>56988</v>
      </c>
      <c r="T21" s="29">
        <f t="shared" si="4"/>
        <v>62949</v>
      </c>
      <c r="U21" s="29">
        <f t="shared" si="4"/>
        <v>63437</v>
      </c>
      <c r="V21" s="29">
        <f t="shared" si="4"/>
        <v>44639</v>
      </c>
      <c r="W21" s="30">
        <f t="shared" si="4"/>
        <v>47303</v>
      </c>
    </row>
    <row r="22" spans="1:24" x14ac:dyDescent="0.25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7" spans="1:24" ht="17.399999999999999" x14ac:dyDescent="0.3">
      <c r="V27" s="5"/>
      <c r="W27" s="1"/>
      <c r="X27" s="1"/>
    </row>
    <row r="28" spans="1:24" ht="17.399999999999999" x14ac:dyDescent="0.3">
      <c r="V28" s="5"/>
      <c r="W28" s="1"/>
      <c r="X28" s="1"/>
    </row>
    <row r="29" spans="1:24" ht="17.399999999999999" x14ac:dyDescent="0.3">
      <c r="V29" s="5"/>
      <c r="W29" s="1"/>
      <c r="X29" s="1"/>
    </row>
    <row r="30" spans="1:24" ht="17.399999999999999" x14ac:dyDescent="0.3">
      <c r="V30" s="5"/>
      <c r="W30" s="1"/>
      <c r="X30" s="1"/>
    </row>
    <row r="31" spans="1:24" ht="17.399999999999999" x14ac:dyDescent="0.3">
      <c r="V31" s="5"/>
      <c r="W31" s="1"/>
      <c r="X31" s="1"/>
    </row>
    <row r="32" spans="1:24" ht="17.399999999999999" x14ac:dyDescent="0.3">
      <c r="V32" s="5"/>
      <c r="W32" s="1"/>
      <c r="X32" s="1"/>
    </row>
    <row r="33" spans="22:24" ht="17.399999999999999" x14ac:dyDescent="0.3">
      <c r="V33" s="5"/>
      <c r="W33" s="1"/>
      <c r="X33" s="1"/>
    </row>
    <row r="34" spans="22:24" ht="17.399999999999999" x14ac:dyDescent="0.3">
      <c r="V34" s="5"/>
      <c r="W34" s="1"/>
      <c r="X34" s="1"/>
    </row>
    <row r="35" spans="22:24" ht="17.399999999999999" x14ac:dyDescent="0.3">
      <c r="V35" s="5"/>
      <c r="W35" s="1"/>
      <c r="X35" s="1"/>
    </row>
    <row r="36" spans="22:24" ht="17.399999999999999" x14ac:dyDescent="0.3">
      <c r="V36" s="5"/>
      <c r="W36" s="1"/>
      <c r="X36" s="1"/>
    </row>
    <row r="37" spans="22:24" ht="17.399999999999999" x14ac:dyDescent="0.3">
      <c r="V37" s="6"/>
      <c r="W37" s="1"/>
      <c r="X37" s="1"/>
    </row>
    <row r="38" spans="22:24" ht="18" x14ac:dyDescent="0.35">
      <c r="V38" s="7"/>
      <c r="W38" s="2"/>
      <c r="X38" s="2"/>
    </row>
  </sheetData>
  <conditionalFormatting sqref="E1">
    <cfRule type="expression" dxfId="24" priority="1">
      <formula>ISBLANK(XFD1)=FALSE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8"/>
  <sheetViews>
    <sheetView zoomScaleNormal="100" workbookViewId="0"/>
  </sheetViews>
  <sheetFormatPr defaultColWidth="9.109375" defaultRowHeight="13.2" x14ac:dyDescent="0.25"/>
  <cols>
    <col min="1" max="1" width="19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1" width="11.44140625" customWidth="1"/>
    <col min="12" max="12" width="11.109375" customWidth="1"/>
    <col min="13" max="23" width="10.109375" bestFit="1" customWidth="1"/>
  </cols>
  <sheetData>
    <row r="1" spans="1:23" ht="13.8" thickBot="1" x14ac:dyDescent="0.3">
      <c r="A1" s="34" t="s">
        <v>90</v>
      </c>
      <c r="B1" s="119" t="s">
        <v>170</v>
      </c>
      <c r="C1" s="44" t="s">
        <v>171</v>
      </c>
      <c r="D1" s="67" t="s">
        <v>168</v>
      </c>
      <c r="E1" s="91">
        <v>45778</v>
      </c>
      <c r="F1" s="97">
        <v>45413</v>
      </c>
      <c r="G1" s="97">
        <v>45047</v>
      </c>
      <c r="H1" s="97">
        <v>44682</v>
      </c>
      <c r="I1" s="97">
        <v>44317</v>
      </c>
      <c r="J1" s="111">
        <v>43952</v>
      </c>
      <c r="K1" s="97">
        <v>43586</v>
      </c>
      <c r="L1" s="97">
        <v>43221</v>
      </c>
      <c r="M1" s="20">
        <v>42856</v>
      </c>
      <c r="N1" s="20">
        <v>42491</v>
      </c>
      <c r="O1" s="20">
        <v>42125</v>
      </c>
      <c r="P1" s="20">
        <v>41760</v>
      </c>
      <c r="Q1" s="20">
        <v>41395</v>
      </c>
      <c r="R1" s="20">
        <v>41030</v>
      </c>
      <c r="S1" s="20">
        <v>40664</v>
      </c>
      <c r="T1" s="20">
        <v>40299</v>
      </c>
      <c r="U1" s="20">
        <v>39934</v>
      </c>
      <c r="V1" s="20">
        <v>39569</v>
      </c>
      <c r="W1" s="21">
        <v>39203</v>
      </c>
    </row>
    <row r="2" spans="1:23" x14ac:dyDescent="0.25">
      <c r="A2" s="16" t="s">
        <v>4</v>
      </c>
      <c r="B2" s="22">
        <f t="shared" ref="B2:B10" si="0">IFERROR(((E2-F2)/F2),"")</f>
        <v>-1</v>
      </c>
      <c r="C2" s="102">
        <v>0</v>
      </c>
      <c r="D2" s="1">
        <v>-209.30767584047797</v>
      </c>
      <c r="E2" s="92">
        <v>0</v>
      </c>
      <c r="F2" s="1">
        <v>3.9492014309524146</v>
      </c>
      <c r="G2" s="1">
        <v>205</v>
      </c>
      <c r="H2" s="1">
        <v>0</v>
      </c>
      <c r="I2" s="1">
        <v>1300.5780874512986</v>
      </c>
      <c r="J2" s="50">
        <v>0</v>
      </c>
      <c r="K2" s="1">
        <v>590</v>
      </c>
      <c r="L2" s="1">
        <v>0</v>
      </c>
      <c r="M2" s="1">
        <v>0</v>
      </c>
      <c r="N2" s="1">
        <v>396</v>
      </c>
      <c r="O2" s="1">
        <v>124</v>
      </c>
      <c r="P2" s="1">
        <v>291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4800</v>
      </c>
      <c r="W2" s="24">
        <v>1100</v>
      </c>
    </row>
    <row r="3" spans="1:23" x14ac:dyDescent="0.25">
      <c r="A3" s="16" t="s">
        <v>158</v>
      </c>
      <c r="B3" s="124" t="str">
        <f t="shared" si="0"/>
        <v/>
      </c>
      <c r="C3" s="106">
        <v>0</v>
      </c>
      <c r="D3" s="1">
        <v>0</v>
      </c>
      <c r="E3" s="92"/>
      <c r="F3" s="1"/>
      <c r="G3" s="1">
        <v>0</v>
      </c>
      <c r="H3" s="1">
        <v>0</v>
      </c>
      <c r="I3" s="1">
        <v>0</v>
      </c>
      <c r="J3" s="50"/>
      <c r="K3" s="1"/>
      <c r="L3" s="1"/>
      <c r="M3" s="1"/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700</v>
      </c>
      <c r="W3" s="24">
        <v>0</v>
      </c>
    </row>
    <row r="4" spans="1:23" x14ac:dyDescent="0.25">
      <c r="A4" s="16" t="s">
        <v>2</v>
      </c>
      <c r="B4" s="124" t="str">
        <f t="shared" si="0"/>
        <v/>
      </c>
      <c r="C4" s="106">
        <v>0</v>
      </c>
      <c r="D4" s="1">
        <v>0</v>
      </c>
      <c r="E4" s="92">
        <v>0</v>
      </c>
      <c r="F4" s="1">
        <v>0</v>
      </c>
      <c r="G4" s="1">
        <v>60</v>
      </c>
      <c r="H4" s="1">
        <v>172</v>
      </c>
      <c r="I4" s="1">
        <v>0</v>
      </c>
      <c r="J4" s="50">
        <v>0</v>
      </c>
      <c r="K4" s="1">
        <v>694</v>
      </c>
      <c r="L4" s="1">
        <v>0</v>
      </c>
      <c r="M4" s="1">
        <v>1</v>
      </c>
      <c r="N4" s="1">
        <v>234</v>
      </c>
      <c r="O4" s="1">
        <v>475</v>
      </c>
      <c r="P4" s="1">
        <v>8</v>
      </c>
      <c r="Q4" s="1">
        <v>0</v>
      </c>
      <c r="R4" s="1">
        <v>10</v>
      </c>
      <c r="S4" s="1">
        <v>0</v>
      </c>
      <c r="T4" s="1">
        <v>1</v>
      </c>
      <c r="U4" s="1">
        <v>0</v>
      </c>
      <c r="V4" s="1">
        <v>1500</v>
      </c>
      <c r="W4" s="24">
        <v>0</v>
      </c>
    </row>
    <row r="5" spans="1:23" x14ac:dyDescent="0.25">
      <c r="A5" s="16" t="s">
        <v>100</v>
      </c>
      <c r="B5" s="124" t="str">
        <f t="shared" si="0"/>
        <v/>
      </c>
      <c r="C5" s="106">
        <v>0</v>
      </c>
      <c r="D5" s="1">
        <v>0</v>
      </c>
      <c r="E5" s="92"/>
      <c r="F5" s="1"/>
      <c r="G5" s="1">
        <v>0</v>
      </c>
      <c r="H5" s="1">
        <v>0</v>
      </c>
      <c r="I5" s="1">
        <v>0</v>
      </c>
      <c r="J5" s="5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4">
        <v>100</v>
      </c>
    </row>
    <row r="6" spans="1:23" x14ac:dyDescent="0.25">
      <c r="A6" s="16" t="s">
        <v>3</v>
      </c>
      <c r="B6" s="124">
        <f t="shared" si="0"/>
        <v>-0.21511868146467578</v>
      </c>
      <c r="C6" s="106">
        <v>-757.09268519757188</v>
      </c>
      <c r="D6" s="1">
        <v>-1788.2120380407578</v>
      </c>
      <c r="E6" s="92">
        <v>4098.6256799058601</v>
      </c>
      <c r="F6" s="1">
        <v>5221.9687016558773</v>
      </c>
      <c r="G6" s="1">
        <v>558</v>
      </c>
      <c r="H6" s="1">
        <v>1267</v>
      </c>
      <c r="I6" s="1">
        <v>1207.826615380864</v>
      </c>
      <c r="J6" s="50">
        <v>10280</v>
      </c>
      <c r="K6" s="1">
        <v>4926</v>
      </c>
      <c r="L6" s="1">
        <v>3129</v>
      </c>
      <c r="M6" s="1">
        <v>7085</v>
      </c>
      <c r="N6" s="1">
        <v>10072</v>
      </c>
      <c r="O6" s="1">
        <v>6464</v>
      </c>
      <c r="P6" s="1">
        <v>5900</v>
      </c>
      <c r="Q6" s="1">
        <v>4235</v>
      </c>
      <c r="R6" s="1">
        <v>5700</v>
      </c>
      <c r="S6" s="1">
        <v>1340</v>
      </c>
      <c r="T6" s="1">
        <v>11424</v>
      </c>
      <c r="U6" s="1">
        <v>5900</v>
      </c>
      <c r="V6" s="1">
        <v>10700</v>
      </c>
      <c r="W6" s="24">
        <v>8500</v>
      </c>
    </row>
    <row r="7" spans="1:23" x14ac:dyDescent="0.25">
      <c r="A7" s="17" t="s">
        <v>26</v>
      </c>
      <c r="B7" s="22">
        <f t="shared" si="0"/>
        <v>-0.5075097251009365</v>
      </c>
      <c r="C7" s="102">
        <v>-4770.4990719519647</v>
      </c>
      <c r="D7" s="1">
        <v>-5548.5591683164712</v>
      </c>
      <c r="E7" s="92">
        <v>9728.4850395911344</v>
      </c>
      <c r="F7" s="1">
        <v>19753.65917953405</v>
      </c>
      <c r="G7" s="1">
        <v>14907</v>
      </c>
      <c r="H7" s="1">
        <v>40156</v>
      </c>
      <c r="I7" s="1">
        <v>19429.911417926996</v>
      </c>
      <c r="J7" s="50">
        <v>26818</v>
      </c>
      <c r="K7" s="1">
        <v>22802</v>
      </c>
      <c r="L7" s="1">
        <v>770</v>
      </c>
      <c r="M7" s="68">
        <v>15850</v>
      </c>
      <c r="N7" s="68">
        <v>34178</v>
      </c>
      <c r="O7" s="68">
        <v>40186</v>
      </c>
      <c r="P7" s="68">
        <v>19542</v>
      </c>
      <c r="Q7" s="68">
        <v>12963</v>
      </c>
      <c r="R7" s="68">
        <v>20700</v>
      </c>
      <c r="S7" s="68">
        <v>30448</v>
      </c>
      <c r="T7" s="68">
        <v>53743</v>
      </c>
      <c r="U7" s="68">
        <v>80800</v>
      </c>
      <c r="V7" s="1">
        <v>57700</v>
      </c>
      <c r="W7" s="24">
        <v>60400</v>
      </c>
    </row>
    <row r="8" spans="1:23" x14ac:dyDescent="0.25">
      <c r="A8" s="16" t="s">
        <v>25</v>
      </c>
      <c r="B8" s="22">
        <f t="shared" si="0"/>
        <v>-0.55827192773419831</v>
      </c>
      <c r="C8" s="102">
        <v>-3565.5698593445904</v>
      </c>
      <c r="D8" s="1">
        <v>-2549.2745858120129</v>
      </c>
      <c r="E8" s="92">
        <v>1746.0848068134135</v>
      </c>
      <c r="F8" s="1">
        <v>3952.8499917540653</v>
      </c>
      <c r="G8" s="1">
        <v>5316</v>
      </c>
      <c r="H8" s="1">
        <v>14071</v>
      </c>
      <c r="I8" s="1">
        <v>5484.288046215187</v>
      </c>
      <c r="J8" s="50">
        <v>22130</v>
      </c>
      <c r="K8" s="1">
        <v>19721</v>
      </c>
      <c r="L8" s="1">
        <v>114</v>
      </c>
      <c r="M8" s="68">
        <v>9177</v>
      </c>
      <c r="N8" s="68">
        <v>9832</v>
      </c>
      <c r="O8" s="68">
        <v>16969</v>
      </c>
      <c r="P8" s="68">
        <v>5062</v>
      </c>
      <c r="Q8" s="68">
        <v>6252</v>
      </c>
      <c r="R8" s="68">
        <v>13300</v>
      </c>
      <c r="S8" s="68">
        <v>4731</v>
      </c>
      <c r="T8" s="68">
        <v>12100</v>
      </c>
      <c r="U8" s="68">
        <v>15400</v>
      </c>
      <c r="V8" s="1">
        <v>22200</v>
      </c>
      <c r="W8" s="24">
        <v>20000</v>
      </c>
    </row>
    <row r="9" spans="1:23" ht="13.8" thickBot="1" x14ac:dyDescent="0.3">
      <c r="A9" s="18" t="s">
        <v>57</v>
      </c>
      <c r="B9" s="23">
        <f t="shared" si="0"/>
        <v>-0.1984357022164141</v>
      </c>
      <c r="C9" s="103">
        <v>-2818.7272682437197</v>
      </c>
      <c r="D9" s="9">
        <v>-2308</v>
      </c>
      <c r="E9" s="93">
        <v>3871.55555829472</v>
      </c>
      <c r="F9" s="9">
        <v>4830</v>
      </c>
      <c r="G9" s="9">
        <v>8685</v>
      </c>
      <c r="H9" s="9">
        <v>10244</v>
      </c>
      <c r="I9" s="9">
        <v>5171</v>
      </c>
      <c r="J9" s="54">
        <v>2232</v>
      </c>
      <c r="K9" s="9">
        <v>6798</v>
      </c>
      <c r="L9" s="9">
        <v>1093</v>
      </c>
      <c r="M9" s="69">
        <v>77</v>
      </c>
      <c r="N9" s="69">
        <v>5663</v>
      </c>
      <c r="O9" s="69">
        <v>1428</v>
      </c>
      <c r="P9" s="69">
        <v>2930</v>
      </c>
      <c r="Q9" s="69">
        <v>2617</v>
      </c>
      <c r="R9" s="69">
        <v>3500</v>
      </c>
      <c r="S9" s="69">
        <v>8242</v>
      </c>
      <c r="T9" s="69">
        <v>4674</v>
      </c>
      <c r="U9" s="69">
        <v>15200</v>
      </c>
      <c r="V9" s="9">
        <v>15300</v>
      </c>
      <c r="W9" s="26">
        <v>1400</v>
      </c>
    </row>
    <row r="10" spans="1:23" ht="13.8" thickBot="1" x14ac:dyDescent="0.3">
      <c r="A10" s="27" t="s">
        <v>22</v>
      </c>
      <c r="B10" s="28">
        <f t="shared" si="0"/>
        <v>-0.42407128960929069</v>
      </c>
      <c r="C10" s="125">
        <v>-11911.888884737848</v>
      </c>
      <c r="D10" s="29">
        <v>-12403.353468009722</v>
      </c>
      <c r="E10" s="40">
        <f t="shared" ref="E10" si="1">SUM(E2:E9)</f>
        <v>19444.75108460513</v>
      </c>
      <c r="F10" s="29">
        <f>SUM(F2:F9)</f>
        <v>33762.427074374944</v>
      </c>
      <c r="G10" s="29">
        <f>SUM(G2:G9)</f>
        <v>29731</v>
      </c>
      <c r="H10" s="29">
        <f>SUM(H2:H9)</f>
        <v>65910</v>
      </c>
      <c r="I10" s="29">
        <f>SUM(I2:I9)</f>
        <v>32593.604166974346</v>
      </c>
      <c r="J10" s="87">
        <v>61460</v>
      </c>
      <c r="K10" s="29">
        <f>SUM(K2:K9)</f>
        <v>55531</v>
      </c>
      <c r="L10" s="29">
        <f>SUM(L2:L9)</f>
        <v>5106</v>
      </c>
      <c r="M10" s="29">
        <v>32190</v>
      </c>
      <c r="N10" s="29">
        <v>60375</v>
      </c>
      <c r="O10" s="29">
        <f>SUM(O2:O9)</f>
        <v>65646</v>
      </c>
      <c r="P10" s="29">
        <f>SUM(P2:P9)</f>
        <v>33733</v>
      </c>
      <c r="Q10" s="29">
        <f>SUM(Q2:Q9)</f>
        <v>26067</v>
      </c>
      <c r="R10" s="29">
        <f t="shared" ref="R10:W10" si="2">SUM(R2:R9)</f>
        <v>43210</v>
      </c>
      <c r="S10" s="29">
        <f t="shared" si="2"/>
        <v>44761</v>
      </c>
      <c r="T10" s="29">
        <f t="shared" si="2"/>
        <v>81942</v>
      </c>
      <c r="U10" s="29">
        <f t="shared" si="2"/>
        <v>117300</v>
      </c>
      <c r="V10" s="29">
        <f t="shared" si="2"/>
        <v>112900</v>
      </c>
      <c r="W10" s="30">
        <f t="shared" si="2"/>
        <v>91500</v>
      </c>
    </row>
    <row r="11" spans="1:23" x14ac:dyDescent="0.25">
      <c r="A11" t="s">
        <v>101</v>
      </c>
      <c r="B11" s="31"/>
      <c r="C11" s="31"/>
      <c r="D11" s="31"/>
      <c r="E11" s="31"/>
      <c r="F11" s="31"/>
      <c r="G11" s="31"/>
      <c r="H11" s="31"/>
      <c r="I11" s="31"/>
      <c r="J11" s="110"/>
      <c r="K11" s="31"/>
      <c r="L11" s="31"/>
    </row>
    <row r="12" spans="1:23" x14ac:dyDescent="0.25">
      <c r="A12" s="45" t="s">
        <v>157</v>
      </c>
      <c r="B12" s="31"/>
      <c r="C12" s="31"/>
      <c r="D12" s="31"/>
      <c r="E12" s="31"/>
      <c r="F12" s="31"/>
      <c r="G12" s="31"/>
      <c r="H12" s="31"/>
      <c r="I12" s="31"/>
      <c r="J12" s="110"/>
      <c r="K12" s="31"/>
      <c r="L12" s="31"/>
    </row>
    <row r="13" spans="1:23" ht="13.8" thickBot="1" x14ac:dyDescent="0.3">
      <c r="B13" s="31"/>
      <c r="C13" s="31"/>
      <c r="D13" s="31"/>
      <c r="E13" s="31"/>
      <c r="F13" s="31"/>
      <c r="G13" s="31"/>
      <c r="H13" s="31"/>
      <c r="I13" s="31"/>
      <c r="J13" s="110"/>
      <c r="K13" s="31"/>
      <c r="L13" s="31"/>
    </row>
    <row r="14" spans="1:23" ht="13.8" thickBot="1" x14ac:dyDescent="0.3">
      <c r="A14" s="19" t="s">
        <v>24</v>
      </c>
      <c r="B14" s="119" t="s">
        <v>170</v>
      </c>
      <c r="C14" s="44" t="s">
        <v>171</v>
      </c>
      <c r="D14" s="67" t="s">
        <v>168</v>
      </c>
      <c r="E14" s="91">
        <v>45778</v>
      </c>
      <c r="F14" s="97">
        <v>45413</v>
      </c>
      <c r="G14" s="97">
        <v>45047</v>
      </c>
      <c r="H14" s="97">
        <v>44682</v>
      </c>
      <c r="I14" s="97">
        <v>44317</v>
      </c>
      <c r="J14" s="111">
        <v>43952</v>
      </c>
      <c r="K14" s="97">
        <v>43586</v>
      </c>
      <c r="L14" s="97">
        <v>43221</v>
      </c>
      <c r="M14" s="20">
        <v>42856</v>
      </c>
      <c r="N14" s="20">
        <v>42491</v>
      </c>
      <c r="O14" s="20">
        <v>42125</v>
      </c>
      <c r="P14" s="20">
        <v>41760</v>
      </c>
      <c r="Q14" s="20">
        <v>41395</v>
      </c>
      <c r="R14" s="20">
        <v>41030</v>
      </c>
      <c r="S14" s="20">
        <v>40664</v>
      </c>
      <c r="T14" s="20">
        <v>40299</v>
      </c>
      <c r="U14" s="20">
        <v>39934</v>
      </c>
      <c r="V14" s="20">
        <v>39569</v>
      </c>
      <c r="W14" s="21">
        <v>39203</v>
      </c>
    </row>
    <row r="15" spans="1:23" x14ac:dyDescent="0.25">
      <c r="A15" s="16" t="s">
        <v>7</v>
      </c>
      <c r="B15" s="22">
        <f t="shared" ref="B15:B20" si="3">IFERROR(((E15-F15)/F15),"")</f>
        <v>-0.25420441064795429</v>
      </c>
      <c r="C15" s="102">
        <v>-22522.104195301545</v>
      </c>
      <c r="D15" s="1">
        <v>-25853.682391921</v>
      </c>
      <c r="E15" s="92">
        <v>7998.4326348475461</v>
      </c>
      <c r="F15" s="1">
        <v>10724.698227025799</v>
      </c>
      <c r="G15" s="1">
        <v>12684</v>
      </c>
      <c r="H15" s="1">
        <v>33489</v>
      </c>
      <c r="I15" s="1">
        <v>39508</v>
      </c>
      <c r="J15" s="50">
        <v>14139</v>
      </c>
      <c r="K15" s="1">
        <v>38754</v>
      </c>
      <c r="L15" s="1">
        <v>12520</v>
      </c>
      <c r="M15" s="1">
        <v>24920</v>
      </c>
      <c r="N15" s="1">
        <v>48359</v>
      </c>
      <c r="O15" s="1">
        <v>24828</v>
      </c>
      <c r="P15" s="1">
        <v>11732</v>
      </c>
      <c r="Q15" s="1">
        <v>13000</v>
      </c>
      <c r="R15" s="1">
        <v>15000</v>
      </c>
      <c r="S15" s="1">
        <v>30900</v>
      </c>
      <c r="T15" s="1">
        <v>22100</v>
      </c>
      <c r="U15" s="1">
        <v>0</v>
      </c>
      <c r="V15" s="1">
        <v>51300</v>
      </c>
      <c r="W15" s="24">
        <v>46100</v>
      </c>
    </row>
    <row r="16" spans="1:23" x14ac:dyDescent="0.25">
      <c r="A16" s="16" t="s">
        <v>99</v>
      </c>
      <c r="B16" s="22" t="str">
        <f t="shared" si="3"/>
        <v/>
      </c>
      <c r="C16" s="102">
        <v>0</v>
      </c>
      <c r="D16" s="1">
        <v>0</v>
      </c>
      <c r="E16" s="92">
        <v>0</v>
      </c>
      <c r="F16" s="1">
        <v>0</v>
      </c>
      <c r="G16" s="1">
        <v>0</v>
      </c>
      <c r="H16" s="1">
        <v>0</v>
      </c>
      <c r="I16" s="1">
        <v>0</v>
      </c>
      <c r="J16" s="50">
        <v>0</v>
      </c>
      <c r="K16" s="1"/>
      <c r="L16" s="1">
        <v>0</v>
      </c>
      <c r="M16" s="1">
        <v>9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24">
        <v>400</v>
      </c>
    </row>
    <row r="17" spans="1:24" x14ac:dyDescent="0.25">
      <c r="A17" s="35" t="s">
        <v>160</v>
      </c>
      <c r="B17" s="22" t="str">
        <f t="shared" si="3"/>
        <v/>
      </c>
      <c r="C17" s="102">
        <v>0</v>
      </c>
      <c r="D17" s="1">
        <v>0</v>
      </c>
      <c r="E17" s="92">
        <v>0</v>
      </c>
      <c r="F17" s="1">
        <v>0</v>
      </c>
      <c r="G17" s="1">
        <v>0</v>
      </c>
      <c r="H17" s="1">
        <v>0</v>
      </c>
      <c r="I17" s="1">
        <v>0</v>
      </c>
      <c r="J17" s="50">
        <v>0</v>
      </c>
      <c r="K17" s="1"/>
      <c r="L17" s="1">
        <v>0</v>
      </c>
      <c r="M17" s="1">
        <v>0</v>
      </c>
      <c r="N17" s="1">
        <v>0</v>
      </c>
      <c r="O17" s="1"/>
      <c r="P17" s="1"/>
      <c r="Q17" s="1"/>
      <c r="R17" s="1"/>
      <c r="S17" s="1"/>
      <c r="T17" s="1"/>
      <c r="U17" s="1"/>
      <c r="V17" s="1"/>
      <c r="W17" s="24"/>
    </row>
    <row r="18" spans="1:24" x14ac:dyDescent="0.25">
      <c r="A18" s="35" t="s">
        <v>175</v>
      </c>
      <c r="B18" s="139" t="str">
        <f t="shared" si="3"/>
        <v/>
      </c>
      <c r="C18" s="140">
        <v>-147.90428772716925</v>
      </c>
      <c r="D18" s="50">
        <v>0</v>
      </c>
      <c r="E18" s="49">
        <v>0</v>
      </c>
      <c r="F18" s="1">
        <v>0</v>
      </c>
      <c r="G18" s="1">
        <v>0</v>
      </c>
      <c r="H18" s="1">
        <v>463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24"/>
    </row>
    <row r="19" spans="1:24" ht="13.8" thickBot="1" x14ac:dyDescent="0.3">
      <c r="A19" s="25" t="s">
        <v>6</v>
      </c>
      <c r="B19" s="23" t="str">
        <f t="shared" si="3"/>
        <v/>
      </c>
      <c r="C19" s="103">
        <v>-1.0000000000000071</v>
      </c>
      <c r="D19" s="9">
        <v>-45</v>
      </c>
      <c r="E19" s="93">
        <v>9.7141256437765993</v>
      </c>
      <c r="F19" s="9">
        <v>0</v>
      </c>
      <c r="G19" s="9">
        <v>530</v>
      </c>
      <c r="H19" s="9">
        <v>0</v>
      </c>
      <c r="I19" s="9">
        <v>75</v>
      </c>
      <c r="J19" s="54">
        <v>153</v>
      </c>
      <c r="K19" s="9">
        <v>378</v>
      </c>
      <c r="L19" s="9">
        <v>0</v>
      </c>
      <c r="M19" s="9">
        <v>0</v>
      </c>
      <c r="N19" s="9">
        <v>0</v>
      </c>
      <c r="O19" s="9">
        <v>331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26">
        <v>500</v>
      </c>
    </row>
    <row r="20" spans="1:24" ht="13.8" thickBot="1" x14ac:dyDescent="0.3">
      <c r="A20" s="27" t="s">
        <v>22</v>
      </c>
      <c r="B20" s="28">
        <f t="shared" si="3"/>
        <v>-0.25329863918118262</v>
      </c>
      <c r="C20" s="125">
        <v>-22671.008483028712</v>
      </c>
      <c r="D20" s="29">
        <v>-25898.682391921</v>
      </c>
      <c r="E20" s="40">
        <f t="shared" ref="E20" si="4">SUM(E15:E19)</f>
        <v>8008.1467604913223</v>
      </c>
      <c r="F20" s="29">
        <f>SUM(F15:F19)</f>
        <v>10724.698227025799</v>
      </c>
      <c r="G20" s="29">
        <f>SUM(G15:G19)</f>
        <v>13214</v>
      </c>
      <c r="H20" s="29">
        <f>SUM(H15:H19)</f>
        <v>33952</v>
      </c>
      <c r="I20" s="29">
        <f>SUM(I15:I19)</f>
        <v>39583</v>
      </c>
      <c r="J20" s="87">
        <v>14292</v>
      </c>
      <c r="K20" s="29">
        <f>SUM(K15:K19)</f>
        <v>39132</v>
      </c>
      <c r="L20" s="29">
        <f>SUM(L15:L19)</f>
        <v>12520</v>
      </c>
      <c r="M20" s="29">
        <v>24929</v>
      </c>
      <c r="N20" s="29">
        <v>48359</v>
      </c>
      <c r="O20" s="29">
        <f>SUM(O15:O19)</f>
        <v>25159</v>
      </c>
      <c r="P20" s="29">
        <f>SUM(P15:P19)</f>
        <v>11732</v>
      </c>
      <c r="Q20" s="29">
        <f>SUM(Q15:Q19)</f>
        <v>13000</v>
      </c>
      <c r="R20" s="29">
        <f t="shared" ref="R20:W20" si="5">SUM(R15:R19)</f>
        <v>15000</v>
      </c>
      <c r="S20" s="29">
        <f t="shared" si="5"/>
        <v>30900</v>
      </c>
      <c r="T20" s="29">
        <f t="shared" si="5"/>
        <v>22100</v>
      </c>
      <c r="U20" s="29">
        <f t="shared" si="5"/>
        <v>0</v>
      </c>
      <c r="V20" s="29">
        <f t="shared" si="5"/>
        <v>51300</v>
      </c>
      <c r="W20" s="30">
        <f t="shared" si="5"/>
        <v>47000</v>
      </c>
    </row>
    <row r="27" spans="1:24" ht="17.399999999999999" x14ac:dyDescent="0.3">
      <c r="V27" s="5"/>
      <c r="W27" s="1"/>
      <c r="X27" s="1"/>
    </row>
    <row r="28" spans="1:24" ht="17.399999999999999" x14ac:dyDescent="0.3">
      <c r="V28" s="5"/>
      <c r="W28" s="1"/>
      <c r="X28" s="1"/>
    </row>
    <row r="29" spans="1:24" ht="17.399999999999999" x14ac:dyDescent="0.3">
      <c r="V29" s="5"/>
      <c r="W29" s="1"/>
      <c r="X29" s="1"/>
    </row>
    <row r="30" spans="1:24" ht="17.399999999999999" x14ac:dyDescent="0.3">
      <c r="V30" s="5"/>
      <c r="W30" s="1"/>
      <c r="X30" s="1"/>
    </row>
    <row r="31" spans="1:24" ht="17.399999999999999" x14ac:dyDescent="0.3">
      <c r="V31" s="5"/>
      <c r="W31" s="1"/>
      <c r="X31" s="1"/>
    </row>
    <row r="32" spans="1:24" ht="17.399999999999999" x14ac:dyDescent="0.3">
      <c r="V32" s="5"/>
      <c r="W32" s="1"/>
      <c r="X32" s="1"/>
    </row>
    <row r="33" spans="22:24" ht="17.399999999999999" x14ac:dyDescent="0.3">
      <c r="V33" s="5"/>
      <c r="W33" s="1"/>
      <c r="X33" s="1"/>
    </row>
    <row r="34" spans="22:24" ht="17.399999999999999" x14ac:dyDescent="0.3">
      <c r="V34" s="5"/>
      <c r="W34" s="1"/>
      <c r="X34" s="1"/>
    </row>
    <row r="35" spans="22:24" ht="17.399999999999999" x14ac:dyDescent="0.3">
      <c r="V35" s="5"/>
      <c r="W35" s="1"/>
      <c r="X35" s="1"/>
    </row>
    <row r="36" spans="22:24" ht="17.399999999999999" x14ac:dyDescent="0.3">
      <c r="V36" s="5"/>
      <c r="W36" s="1"/>
      <c r="X36" s="1"/>
    </row>
    <row r="37" spans="22:24" ht="17.399999999999999" x14ac:dyDescent="0.3">
      <c r="V37" s="6"/>
      <c r="W37" s="1"/>
      <c r="X37" s="1"/>
    </row>
    <row r="38" spans="22:24" ht="18" x14ac:dyDescent="0.35">
      <c r="V38" s="7"/>
      <c r="W38" s="2"/>
      <c r="X38" s="2"/>
    </row>
  </sheetData>
  <conditionalFormatting sqref="E1">
    <cfRule type="expression" dxfId="23" priority="2">
      <formula>ISBLANK(XFD1)=FALSE</formula>
    </cfRule>
  </conditionalFormatting>
  <conditionalFormatting sqref="E14">
    <cfRule type="expression" dxfId="22" priority="1">
      <formula>ISBLANK(XFD14)=FALSE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1"/>
  <sheetViews>
    <sheetView zoomScaleNormal="100" workbookViewId="0"/>
  </sheetViews>
  <sheetFormatPr defaultColWidth="9.109375" defaultRowHeight="13.2" x14ac:dyDescent="0.25"/>
  <cols>
    <col min="1" max="1" width="19.109375" customWidth="1"/>
    <col min="2" max="2" width="10.6640625" customWidth="1"/>
    <col min="3" max="3" width="11.6640625" bestFit="1" customWidth="1"/>
    <col min="4" max="4" width="11.33203125" style="71" bestFit="1" customWidth="1"/>
    <col min="5" max="5" width="11.33203125" style="71" customWidth="1"/>
    <col min="6" max="12" width="11.44140625" style="71" customWidth="1"/>
    <col min="13" max="13" width="10.109375" style="71" bestFit="1" customWidth="1"/>
    <col min="14" max="23" width="10.109375" bestFit="1" customWidth="1"/>
  </cols>
  <sheetData>
    <row r="1" spans="1:23" ht="13.8" thickBot="1" x14ac:dyDescent="0.3">
      <c r="A1" s="34" t="s">
        <v>90</v>
      </c>
      <c r="B1" s="119" t="s">
        <v>170</v>
      </c>
      <c r="C1" s="44" t="s">
        <v>171</v>
      </c>
      <c r="D1" s="67" t="s">
        <v>168</v>
      </c>
      <c r="E1" s="91">
        <v>45778</v>
      </c>
      <c r="F1" s="97">
        <v>45413</v>
      </c>
      <c r="G1" s="97">
        <v>45047</v>
      </c>
      <c r="H1" s="97">
        <v>44682</v>
      </c>
      <c r="I1" s="97">
        <v>44317</v>
      </c>
      <c r="J1" s="97">
        <v>43952</v>
      </c>
      <c r="K1" s="97">
        <v>43586</v>
      </c>
      <c r="L1" s="97">
        <v>43221</v>
      </c>
      <c r="M1" s="20">
        <v>42856</v>
      </c>
      <c r="N1" s="20">
        <v>42491</v>
      </c>
      <c r="O1" s="20">
        <v>42125</v>
      </c>
      <c r="P1" s="20">
        <v>41760</v>
      </c>
      <c r="Q1" s="20">
        <v>41395</v>
      </c>
      <c r="R1" s="20">
        <v>41030</v>
      </c>
      <c r="S1" s="20">
        <v>40664</v>
      </c>
      <c r="T1" s="20">
        <v>40299</v>
      </c>
      <c r="U1" s="20">
        <v>39934</v>
      </c>
      <c r="V1" s="20">
        <v>39569</v>
      </c>
      <c r="W1" s="21">
        <v>39203</v>
      </c>
    </row>
    <row r="2" spans="1:23" x14ac:dyDescent="0.25">
      <c r="A2" s="35" t="s">
        <v>11</v>
      </c>
      <c r="B2" s="22">
        <f t="shared" ref="B2:B12" si="0">IFERROR(((E2-F2)/F2),"")</f>
        <v>-0.9659211927582535</v>
      </c>
      <c r="C2" s="102">
        <v>-166</v>
      </c>
      <c r="D2" s="33">
        <v>-892</v>
      </c>
      <c r="E2" s="38">
        <v>32</v>
      </c>
      <c r="F2" s="74">
        <v>939</v>
      </c>
      <c r="G2" s="74">
        <v>3041</v>
      </c>
      <c r="H2" s="74">
        <v>2352</v>
      </c>
      <c r="I2" s="74">
        <v>2015</v>
      </c>
      <c r="J2" s="74">
        <v>986</v>
      </c>
      <c r="K2" s="74">
        <v>1212</v>
      </c>
      <c r="L2" s="74">
        <v>25</v>
      </c>
      <c r="M2" s="74">
        <v>297</v>
      </c>
      <c r="N2" s="1"/>
      <c r="O2" s="1"/>
      <c r="P2" s="1"/>
      <c r="Q2" s="1"/>
      <c r="R2" s="1"/>
      <c r="S2" s="1"/>
      <c r="T2" s="1"/>
      <c r="U2" s="1"/>
      <c r="V2" s="1"/>
      <c r="W2" s="24"/>
    </row>
    <row r="3" spans="1:23" x14ac:dyDescent="0.25">
      <c r="A3" s="16" t="s">
        <v>9</v>
      </c>
      <c r="B3" s="22">
        <f t="shared" si="0"/>
        <v>-0.59437386569872963</v>
      </c>
      <c r="C3" s="102">
        <v>-272</v>
      </c>
      <c r="D3" s="74">
        <v>-847</v>
      </c>
      <c r="E3" s="112">
        <v>447</v>
      </c>
      <c r="F3" s="74">
        <v>1102</v>
      </c>
      <c r="G3" s="74">
        <v>1576</v>
      </c>
      <c r="H3" s="74">
        <v>825</v>
      </c>
      <c r="I3" s="74">
        <v>995</v>
      </c>
      <c r="J3" s="74">
        <v>359</v>
      </c>
      <c r="K3" s="74">
        <v>630</v>
      </c>
      <c r="L3" s="74">
        <v>567</v>
      </c>
      <c r="M3" s="74">
        <v>246</v>
      </c>
      <c r="N3" s="1">
        <v>1028</v>
      </c>
      <c r="O3" s="1">
        <v>212</v>
      </c>
      <c r="P3" s="1">
        <v>273</v>
      </c>
      <c r="Q3" s="1">
        <v>0</v>
      </c>
      <c r="R3" s="1">
        <v>10</v>
      </c>
      <c r="S3" s="1">
        <v>0</v>
      </c>
      <c r="T3" s="1">
        <v>0</v>
      </c>
      <c r="U3" s="1">
        <v>14</v>
      </c>
      <c r="V3" s="1">
        <v>0</v>
      </c>
      <c r="W3" s="24">
        <v>10</v>
      </c>
    </row>
    <row r="4" spans="1:23" x14ac:dyDescent="0.25">
      <c r="A4" s="16" t="s">
        <v>14</v>
      </c>
      <c r="B4" s="22" t="str">
        <f t="shared" si="0"/>
        <v/>
      </c>
      <c r="C4" s="102">
        <v>-1</v>
      </c>
      <c r="D4" s="74">
        <v>-1</v>
      </c>
      <c r="E4" s="112">
        <v>0</v>
      </c>
      <c r="F4" s="74">
        <v>0</v>
      </c>
      <c r="G4" s="74">
        <v>8</v>
      </c>
      <c r="H4" s="74">
        <v>49</v>
      </c>
      <c r="I4" s="74">
        <v>46</v>
      </c>
      <c r="J4" s="74">
        <v>0</v>
      </c>
      <c r="K4" s="74">
        <v>529</v>
      </c>
      <c r="L4" s="74">
        <v>218</v>
      </c>
      <c r="M4" s="74">
        <v>52</v>
      </c>
      <c r="N4" s="1">
        <v>191</v>
      </c>
      <c r="O4" s="1">
        <v>50</v>
      </c>
      <c r="P4" s="1">
        <v>6</v>
      </c>
      <c r="Q4" s="1">
        <v>89</v>
      </c>
      <c r="R4" s="1">
        <v>22</v>
      </c>
      <c r="S4" s="1">
        <v>10</v>
      </c>
      <c r="T4" s="1">
        <v>16</v>
      </c>
      <c r="U4" s="1">
        <v>309</v>
      </c>
      <c r="V4" s="1">
        <v>70</v>
      </c>
      <c r="W4" s="24">
        <v>145</v>
      </c>
    </row>
    <row r="5" spans="1:23" x14ac:dyDescent="0.25">
      <c r="A5" s="16" t="s">
        <v>3</v>
      </c>
      <c r="B5" s="22">
        <f t="shared" si="0"/>
        <v>-0.72087475149105362</v>
      </c>
      <c r="C5" s="102">
        <v>-799</v>
      </c>
      <c r="D5" s="74">
        <v>-930</v>
      </c>
      <c r="E5" s="112">
        <v>1404</v>
      </c>
      <c r="F5" s="74">
        <v>5030</v>
      </c>
      <c r="G5" s="74">
        <v>3538</v>
      </c>
      <c r="H5" s="74">
        <v>2935</v>
      </c>
      <c r="I5" s="74">
        <v>5081</v>
      </c>
      <c r="J5" s="74">
        <v>4532</v>
      </c>
      <c r="K5" s="74">
        <v>6240</v>
      </c>
      <c r="L5" s="74">
        <v>4189</v>
      </c>
      <c r="M5" s="74">
        <v>3278</v>
      </c>
      <c r="N5" s="1">
        <v>5182</v>
      </c>
      <c r="O5" s="1">
        <v>3650</v>
      </c>
      <c r="P5" s="1">
        <v>3476</v>
      </c>
      <c r="Q5" s="1">
        <v>1747</v>
      </c>
      <c r="R5" s="1">
        <v>1654</v>
      </c>
      <c r="S5" s="1">
        <v>1133</v>
      </c>
      <c r="T5" s="1">
        <v>2459</v>
      </c>
      <c r="U5" s="1">
        <v>2480</v>
      </c>
      <c r="V5" s="1">
        <v>1487</v>
      </c>
      <c r="W5" s="24">
        <v>1053</v>
      </c>
    </row>
    <row r="6" spans="1:23" x14ac:dyDescent="0.25">
      <c r="A6" s="16" t="s">
        <v>10</v>
      </c>
      <c r="B6" s="22">
        <f t="shared" si="0"/>
        <v>-0.56261682242990652</v>
      </c>
      <c r="C6" s="102">
        <v>-170</v>
      </c>
      <c r="D6" s="74">
        <v>-470</v>
      </c>
      <c r="E6" s="112">
        <v>234</v>
      </c>
      <c r="F6" s="74">
        <v>535</v>
      </c>
      <c r="G6" s="74">
        <v>1159</v>
      </c>
      <c r="H6" s="74">
        <v>2387</v>
      </c>
      <c r="I6" s="74">
        <v>2122</v>
      </c>
      <c r="J6" s="74">
        <v>596</v>
      </c>
      <c r="K6" s="74">
        <v>3982</v>
      </c>
      <c r="L6" s="74">
        <v>1135</v>
      </c>
      <c r="M6" s="74">
        <v>1227</v>
      </c>
      <c r="N6" s="1">
        <v>4284</v>
      </c>
      <c r="O6" s="1">
        <v>1761</v>
      </c>
      <c r="P6" s="1">
        <v>2862</v>
      </c>
      <c r="Q6" s="1">
        <v>3433</v>
      </c>
      <c r="R6" s="1">
        <v>630</v>
      </c>
      <c r="S6" s="1">
        <v>1833</v>
      </c>
      <c r="T6" s="1">
        <v>6506</v>
      </c>
      <c r="U6" s="1">
        <v>5018</v>
      </c>
      <c r="V6" s="1">
        <v>1485</v>
      </c>
      <c r="W6" s="24">
        <v>5247</v>
      </c>
    </row>
    <row r="7" spans="1:23" x14ac:dyDescent="0.25">
      <c r="A7" s="16" t="s">
        <v>26</v>
      </c>
      <c r="B7" s="124">
        <f t="shared" si="0"/>
        <v>-0.99151343705799155</v>
      </c>
      <c r="C7" s="106">
        <v>-95</v>
      </c>
      <c r="D7" s="74">
        <v>-829</v>
      </c>
      <c r="E7" s="112">
        <v>6</v>
      </c>
      <c r="F7" s="74">
        <v>707</v>
      </c>
      <c r="G7" s="74">
        <v>2141</v>
      </c>
      <c r="H7" s="74">
        <v>2679</v>
      </c>
      <c r="I7" s="74">
        <v>1598</v>
      </c>
      <c r="J7" s="74">
        <v>281</v>
      </c>
      <c r="K7" s="74">
        <v>1903</v>
      </c>
      <c r="L7" s="74">
        <v>337</v>
      </c>
      <c r="M7" s="74">
        <v>1368</v>
      </c>
      <c r="N7" s="1">
        <v>1338</v>
      </c>
      <c r="O7" s="1">
        <v>340</v>
      </c>
      <c r="P7" s="1">
        <v>1295</v>
      </c>
      <c r="Q7" s="1">
        <v>272</v>
      </c>
      <c r="R7" s="1">
        <v>192</v>
      </c>
      <c r="S7" s="1">
        <v>300</v>
      </c>
      <c r="T7" s="1">
        <v>361</v>
      </c>
      <c r="U7" s="1">
        <v>635</v>
      </c>
      <c r="V7" s="1">
        <v>95</v>
      </c>
      <c r="W7" s="24">
        <v>430</v>
      </c>
    </row>
    <row r="8" spans="1:23" x14ac:dyDescent="0.25">
      <c r="A8" s="16" t="s">
        <v>19</v>
      </c>
      <c r="B8" s="124">
        <f t="shared" si="0"/>
        <v>3.3333333333333333E-2</v>
      </c>
      <c r="C8" s="106">
        <v>-138</v>
      </c>
      <c r="D8" s="74">
        <v>-199</v>
      </c>
      <c r="E8" s="112">
        <v>372</v>
      </c>
      <c r="F8" s="74">
        <v>360</v>
      </c>
      <c r="G8" s="74">
        <v>743</v>
      </c>
      <c r="H8" s="74">
        <v>408</v>
      </c>
      <c r="I8" s="74">
        <v>323</v>
      </c>
      <c r="J8" s="74">
        <v>460</v>
      </c>
      <c r="K8" s="74">
        <v>789</v>
      </c>
      <c r="L8" s="74">
        <v>428</v>
      </c>
      <c r="M8" s="74">
        <v>0</v>
      </c>
      <c r="N8" s="1">
        <v>214</v>
      </c>
      <c r="O8" s="1">
        <v>0</v>
      </c>
      <c r="P8" s="1">
        <v>15</v>
      </c>
      <c r="Q8" s="1">
        <v>54</v>
      </c>
      <c r="R8" s="1">
        <v>20</v>
      </c>
      <c r="S8" s="1">
        <v>36</v>
      </c>
      <c r="T8" s="1">
        <v>23</v>
      </c>
      <c r="U8" s="1">
        <v>0</v>
      </c>
      <c r="V8" s="1">
        <v>0</v>
      </c>
      <c r="W8" s="24">
        <v>0</v>
      </c>
    </row>
    <row r="9" spans="1:23" x14ac:dyDescent="0.25">
      <c r="A9" s="35" t="s">
        <v>88</v>
      </c>
      <c r="B9" s="124">
        <f t="shared" si="0"/>
        <v>-0.93333333333333335</v>
      </c>
      <c r="C9" s="106">
        <v>-10</v>
      </c>
      <c r="D9" s="74">
        <v>-33</v>
      </c>
      <c r="E9" s="112">
        <v>6</v>
      </c>
      <c r="F9" s="74">
        <v>90</v>
      </c>
      <c r="G9" s="74">
        <v>15</v>
      </c>
      <c r="H9" s="74">
        <v>151</v>
      </c>
      <c r="I9" s="74">
        <v>534</v>
      </c>
      <c r="J9" s="74">
        <v>0</v>
      </c>
      <c r="K9" s="74">
        <v>371</v>
      </c>
      <c r="L9" s="74">
        <v>46</v>
      </c>
      <c r="M9" s="74">
        <v>93</v>
      </c>
      <c r="N9" s="1">
        <v>458</v>
      </c>
      <c r="O9" s="1">
        <v>204</v>
      </c>
      <c r="P9" s="1">
        <v>55</v>
      </c>
      <c r="Q9" s="1">
        <v>28</v>
      </c>
      <c r="R9" s="1">
        <v>104</v>
      </c>
      <c r="S9" s="1">
        <v>19</v>
      </c>
      <c r="T9" s="1">
        <v>44</v>
      </c>
      <c r="U9" s="1">
        <v>30</v>
      </c>
      <c r="V9" s="1">
        <v>36</v>
      </c>
      <c r="W9" s="24">
        <v>122</v>
      </c>
    </row>
    <row r="10" spans="1:23" x14ac:dyDescent="0.25">
      <c r="A10" s="16" t="s">
        <v>34</v>
      </c>
      <c r="B10" s="124" t="str">
        <f t="shared" si="0"/>
        <v/>
      </c>
      <c r="C10" s="106">
        <v>0</v>
      </c>
      <c r="D10" s="74">
        <v>0</v>
      </c>
      <c r="E10" s="112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24">
        <v>0</v>
      </c>
    </row>
    <row r="11" spans="1:23" ht="13.8" thickBot="1" x14ac:dyDescent="0.3">
      <c r="A11" s="18" t="s">
        <v>57</v>
      </c>
      <c r="B11" s="141">
        <f t="shared" si="0"/>
        <v>-0.8107416879795396</v>
      </c>
      <c r="C11" s="107">
        <v>-421</v>
      </c>
      <c r="D11" s="75">
        <v>-369</v>
      </c>
      <c r="E11" s="94">
        <v>444</v>
      </c>
      <c r="F11" s="75">
        <v>2346</v>
      </c>
      <c r="G11" s="75">
        <v>1986</v>
      </c>
      <c r="H11" s="75">
        <v>1739</v>
      </c>
      <c r="I11" s="75">
        <v>906</v>
      </c>
      <c r="J11" s="75">
        <v>690</v>
      </c>
      <c r="K11" s="75">
        <v>2022</v>
      </c>
      <c r="L11" s="75">
        <v>532</v>
      </c>
      <c r="M11" s="96">
        <v>431</v>
      </c>
      <c r="N11" s="69">
        <v>968</v>
      </c>
      <c r="O11" s="69">
        <v>251</v>
      </c>
      <c r="P11" s="69">
        <v>365</v>
      </c>
      <c r="Q11" s="69">
        <v>206</v>
      </c>
      <c r="R11" s="69">
        <v>147</v>
      </c>
      <c r="S11" s="69">
        <v>108</v>
      </c>
      <c r="T11" s="69">
        <v>78</v>
      </c>
      <c r="U11" s="69">
        <v>112</v>
      </c>
      <c r="V11" s="9">
        <v>105</v>
      </c>
      <c r="W11" s="26">
        <v>673</v>
      </c>
    </row>
    <row r="12" spans="1:23" ht="13.8" thickBot="1" x14ac:dyDescent="0.3">
      <c r="A12" s="27" t="s">
        <v>22</v>
      </c>
      <c r="B12" s="142">
        <f t="shared" si="0"/>
        <v>-0.73489963092987665</v>
      </c>
      <c r="C12" s="143">
        <v>-2072</v>
      </c>
      <c r="D12" s="76">
        <v>-4570</v>
      </c>
      <c r="E12" s="95">
        <f t="shared" ref="E12" si="1">SUM(E2:E11)</f>
        <v>2945</v>
      </c>
      <c r="F12" s="76">
        <f>SUM(F2:F11)</f>
        <v>11109</v>
      </c>
      <c r="G12" s="76">
        <f t="shared" ref="G12:M12" si="2">SUM(G2:G11)</f>
        <v>14207</v>
      </c>
      <c r="H12" s="76">
        <f t="shared" si="2"/>
        <v>13525</v>
      </c>
      <c r="I12" s="76">
        <f t="shared" si="2"/>
        <v>13620</v>
      </c>
      <c r="J12" s="76">
        <f t="shared" si="2"/>
        <v>7904</v>
      </c>
      <c r="K12" s="76">
        <f t="shared" si="2"/>
        <v>17678</v>
      </c>
      <c r="L12" s="76">
        <f t="shared" si="2"/>
        <v>7477</v>
      </c>
      <c r="M12" s="76">
        <f t="shared" si="2"/>
        <v>6992</v>
      </c>
      <c r="N12" s="29">
        <f>SUM(N3:N11)</f>
        <v>13663</v>
      </c>
      <c r="O12" s="29">
        <f>SUM(O3:O11)</f>
        <v>6468</v>
      </c>
      <c r="P12" s="29">
        <f>SUM(P3:P11)</f>
        <v>8347</v>
      </c>
      <c r="Q12" s="29">
        <f>SUM(Q3:Q11)</f>
        <v>5829</v>
      </c>
      <c r="R12" s="29">
        <f t="shared" ref="R12:W12" si="3">SUM(R3:R11)</f>
        <v>2779</v>
      </c>
      <c r="S12" s="29">
        <f t="shared" si="3"/>
        <v>3439</v>
      </c>
      <c r="T12" s="29">
        <f t="shared" si="3"/>
        <v>9487</v>
      </c>
      <c r="U12" s="29">
        <f t="shared" si="3"/>
        <v>8598</v>
      </c>
      <c r="V12" s="29">
        <f t="shared" si="3"/>
        <v>3278</v>
      </c>
      <c r="W12" s="30">
        <f t="shared" si="3"/>
        <v>7680</v>
      </c>
    </row>
    <row r="13" spans="1:23" x14ac:dyDescent="0.25">
      <c r="B13" s="144"/>
      <c r="C13" s="144"/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23" ht="13.8" thickBot="1" x14ac:dyDescent="0.3">
      <c r="B14" s="145"/>
      <c r="C14" s="145"/>
    </row>
    <row r="15" spans="1:23" ht="13.8" thickBot="1" x14ac:dyDescent="0.3">
      <c r="A15" s="46" t="s">
        <v>24</v>
      </c>
      <c r="B15" s="119" t="s">
        <v>170</v>
      </c>
      <c r="C15" s="44" t="s">
        <v>171</v>
      </c>
      <c r="D15" s="67" t="s">
        <v>168</v>
      </c>
      <c r="E15" s="91">
        <v>45778</v>
      </c>
      <c r="F15" s="97">
        <v>45413</v>
      </c>
      <c r="G15" s="97">
        <v>45047</v>
      </c>
      <c r="H15" s="97">
        <v>44682</v>
      </c>
      <c r="I15" s="97">
        <v>44317</v>
      </c>
      <c r="J15" s="97">
        <v>43952</v>
      </c>
      <c r="K15" s="97">
        <v>43586</v>
      </c>
      <c r="L15" s="97">
        <v>43221</v>
      </c>
      <c r="M15" s="20">
        <v>42856</v>
      </c>
      <c r="N15" s="20">
        <v>42491</v>
      </c>
      <c r="O15" s="20">
        <v>42125</v>
      </c>
      <c r="P15" s="20">
        <v>41760</v>
      </c>
      <c r="Q15" s="20">
        <v>41395</v>
      </c>
      <c r="R15" s="20">
        <v>41030</v>
      </c>
      <c r="S15" s="20">
        <v>40664</v>
      </c>
      <c r="T15" s="20">
        <v>40299</v>
      </c>
      <c r="U15" s="20">
        <v>39934</v>
      </c>
      <c r="V15" s="20">
        <v>39569</v>
      </c>
      <c r="W15" s="21">
        <v>39203</v>
      </c>
    </row>
    <row r="16" spans="1:23" x14ac:dyDescent="0.25">
      <c r="A16" s="47" t="s">
        <v>7</v>
      </c>
      <c r="B16" s="133">
        <f t="shared" ref="B16:B21" si="4">IFERROR(((E16-F16)/F16),"")</f>
        <v>-0.59444444444444444</v>
      </c>
      <c r="C16" s="134">
        <v>-181</v>
      </c>
      <c r="D16" s="50">
        <v>-5</v>
      </c>
      <c r="E16" s="49">
        <v>219</v>
      </c>
      <c r="F16" s="50">
        <v>540</v>
      </c>
      <c r="G16" s="50">
        <v>0</v>
      </c>
      <c r="H16" s="50">
        <v>0</v>
      </c>
      <c r="I16" s="50">
        <v>155</v>
      </c>
      <c r="J16" s="50">
        <v>200</v>
      </c>
      <c r="K16" s="50">
        <v>740</v>
      </c>
      <c r="L16" s="50">
        <v>600</v>
      </c>
      <c r="M16" s="50">
        <v>370</v>
      </c>
      <c r="N16" s="50">
        <v>950</v>
      </c>
      <c r="O16" s="50">
        <v>0</v>
      </c>
      <c r="P16" s="50">
        <v>564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61">
        <v>0</v>
      </c>
    </row>
    <row r="17" spans="1:24" x14ac:dyDescent="0.25">
      <c r="A17" s="47" t="s">
        <v>41</v>
      </c>
      <c r="B17" s="133" t="str">
        <f t="shared" si="4"/>
        <v/>
      </c>
      <c r="C17" s="134">
        <v>0</v>
      </c>
      <c r="D17" s="50">
        <v>0</v>
      </c>
      <c r="E17" s="49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5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61">
        <v>0</v>
      </c>
    </row>
    <row r="18" spans="1:24" x14ac:dyDescent="0.25">
      <c r="A18" s="47" t="s">
        <v>155</v>
      </c>
      <c r="B18" s="133" t="str">
        <f t="shared" si="4"/>
        <v/>
      </c>
      <c r="C18" s="134">
        <v>-1</v>
      </c>
      <c r="D18" s="50">
        <v>-29</v>
      </c>
      <c r="E18" s="49">
        <v>0</v>
      </c>
      <c r="F18" s="50">
        <v>0</v>
      </c>
      <c r="G18" s="50">
        <v>4</v>
      </c>
      <c r="H18" s="50">
        <v>13</v>
      </c>
      <c r="I18" s="50">
        <v>5</v>
      </c>
      <c r="J18" s="50">
        <v>0</v>
      </c>
      <c r="K18" s="50">
        <v>8</v>
      </c>
      <c r="L18" s="50">
        <v>0</v>
      </c>
      <c r="M18" s="50">
        <v>0</v>
      </c>
      <c r="N18" s="50">
        <v>32</v>
      </c>
      <c r="O18" s="50">
        <v>0</v>
      </c>
      <c r="P18" s="50">
        <v>2</v>
      </c>
      <c r="Q18" s="50"/>
      <c r="R18" s="50"/>
      <c r="S18" s="50"/>
      <c r="T18" s="50"/>
      <c r="U18" s="50"/>
      <c r="V18" s="50"/>
      <c r="W18" s="61"/>
    </row>
    <row r="19" spans="1:24" x14ac:dyDescent="0.25">
      <c r="A19" s="47" t="s">
        <v>156</v>
      </c>
      <c r="B19" s="133" t="str">
        <f t="shared" si="4"/>
        <v/>
      </c>
      <c r="C19" s="134">
        <v>0</v>
      </c>
      <c r="D19" s="50">
        <v>0</v>
      </c>
      <c r="E19" s="49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/>
      <c r="R19" s="50"/>
      <c r="S19" s="50"/>
      <c r="T19" s="50"/>
      <c r="U19" s="50"/>
      <c r="V19" s="50"/>
      <c r="W19" s="61"/>
    </row>
    <row r="20" spans="1:24" ht="13.8" thickBot="1" x14ac:dyDescent="0.3">
      <c r="A20" s="51" t="s">
        <v>6</v>
      </c>
      <c r="B20" s="133" t="str">
        <f t="shared" si="4"/>
        <v/>
      </c>
      <c r="C20" s="134">
        <v>0</v>
      </c>
      <c r="D20" s="50">
        <v>-3</v>
      </c>
      <c r="E20" s="49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8</v>
      </c>
      <c r="L20" s="50">
        <v>0</v>
      </c>
      <c r="M20" s="54">
        <v>0</v>
      </c>
      <c r="N20" s="54">
        <v>14</v>
      </c>
      <c r="O20" s="54">
        <v>0</v>
      </c>
      <c r="P20" s="54">
        <v>1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62">
        <v>0</v>
      </c>
      <c r="X20" s="1"/>
    </row>
    <row r="21" spans="1:24" ht="13.8" thickBot="1" x14ac:dyDescent="0.3">
      <c r="A21" s="55" t="s">
        <v>91</v>
      </c>
      <c r="B21" s="56">
        <f t="shared" si="4"/>
        <v>-0.59444444444444444</v>
      </c>
      <c r="C21" s="146">
        <v>-182</v>
      </c>
      <c r="D21" s="72">
        <v>-37</v>
      </c>
      <c r="E21" s="57">
        <f t="shared" ref="E21" si="5">SUM(E16:E20)</f>
        <v>219</v>
      </c>
      <c r="F21" s="72">
        <f t="shared" ref="F21:K21" si="6">SUM(F16:F20)</f>
        <v>540</v>
      </c>
      <c r="G21" s="72">
        <f t="shared" si="6"/>
        <v>4</v>
      </c>
      <c r="H21" s="72">
        <f t="shared" si="6"/>
        <v>13</v>
      </c>
      <c r="I21" s="72">
        <f t="shared" si="6"/>
        <v>160</v>
      </c>
      <c r="J21" s="72">
        <f t="shared" si="6"/>
        <v>200</v>
      </c>
      <c r="K21" s="72">
        <f t="shared" si="6"/>
        <v>756</v>
      </c>
      <c r="L21" s="72">
        <v>600</v>
      </c>
      <c r="M21" s="72">
        <f>SUM(M16:M20)</f>
        <v>370</v>
      </c>
      <c r="N21" s="72">
        <f>SUM(N16:N20)</f>
        <v>1001</v>
      </c>
      <c r="O21" s="72">
        <f>SUM(O16:O20)</f>
        <v>0</v>
      </c>
      <c r="P21" s="72">
        <f>SUM(P16:P20)</f>
        <v>567</v>
      </c>
      <c r="Q21" s="72">
        <f>SUM(Q16:Q20)</f>
        <v>0</v>
      </c>
      <c r="R21" s="72">
        <f t="shared" ref="R21:W21" si="7">SUM(R16:R20)</f>
        <v>0</v>
      </c>
      <c r="S21" s="72">
        <f t="shared" si="7"/>
        <v>0</v>
      </c>
      <c r="T21" s="72">
        <f t="shared" si="7"/>
        <v>0</v>
      </c>
      <c r="U21" s="72">
        <f t="shared" si="7"/>
        <v>0</v>
      </c>
      <c r="V21" s="72">
        <f t="shared" si="7"/>
        <v>0</v>
      </c>
      <c r="W21" s="73">
        <f t="shared" si="7"/>
        <v>0</v>
      </c>
      <c r="X21" s="1"/>
    </row>
  </sheetData>
  <conditionalFormatting sqref="E1">
    <cfRule type="expression" dxfId="21" priority="2">
      <formula>ISBLANK(XFD1)=FALSE</formula>
    </cfRule>
  </conditionalFormatting>
  <conditionalFormatting sqref="E15">
    <cfRule type="expression" dxfId="20" priority="1">
      <formula>ISBLANK(XFD15)=FALSE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30"/>
  <sheetViews>
    <sheetView zoomScaleNormal="100" workbookViewId="0"/>
  </sheetViews>
  <sheetFormatPr defaultColWidth="9.109375" defaultRowHeight="13.2" x14ac:dyDescent="0.25"/>
  <cols>
    <col min="1" max="1" width="18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1" width="11.6640625" customWidth="1"/>
    <col min="12" max="12" width="11.44140625" customWidth="1"/>
    <col min="13" max="23" width="10.109375" bestFit="1" customWidth="1"/>
  </cols>
  <sheetData>
    <row r="1" spans="1:24" ht="13.8" thickBot="1" x14ac:dyDescent="0.3">
      <c r="A1" s="34" t="s">
        <v>90</v>
      </c>
      <c r="B1" s="119" t="s">
        <v>170</v>
      </c>
      <c r="C1" s="44" t="s">
        <v>171</v>
      </c>
      <c r="D1" s="67" t="s">
        <v>168</v>
      </c>
      <c r="E1" s="91">
        <v>45778</v>
      </c>
      <c r="F1" s="97">
        <v>45413</v>
      </c>
      <c r="G1" s="97">
        <v>45047</v>
      </c>
      <c r="H1" s="97">
        <v>44682</v>
      </c>
      <c r="I1" s="97">
        <v>44317</v>
      </c>
      <c r="J1" s="97">
        <v>43952</v>
      </c>
      <c r="K1" s="97">
        <v>43586</v>
      </c>
      <c r="L1" s="97">
        <v>43221</v>
      </c>
      <c r="M1" s="20">
        <v>42856</v>
      </c>
      <c r="N1" s="20">
        <v>42491</v>
      </c>
      <c r="O1" s="20">
        <v>42125</v>
      </c>
      <c r="P1" s="20">
        <v>41760</v>
      </c>
      <c r="Q1" s="20">
        <v>41395</v>
      </c>
      <c r="R1" s="20">
        <v>41030</v>
      </c>
      <c r="S1" s="20">
        <v>40664</v>
      </c>
      <c r="T1" s="20">
        <v>40299</v>
      </c>
      <c r="U1" s="20">
        <v>39934</v>
      </c>
      <c r="V1" s="20">
        <v>39569</v>
      </c>
      <c r="W1" s="21">
        <v>39203</v>
      </c>
    </row>
    <row r="2" spans="1:24" x14ac:dyDescent="0.25">
      <c r="A2" s="35" t="s">
        <v>4</v>
      </c>
      <c r="B2" s="120" t="str">
        <f t="shared" ref="B2:B20" si="0">IFERROR(((E2-F2)/F2),"")</f>
        <v/>
      </c>
      <c r="C2" s="121">
        <v>0</v>
      </c>
      <c r="D2" s="33">
        <v>0</v>
      </c>
      <c r="E2" s="38"/>
      <c r="F2" s="33"/>
      <c r="G2" s="33"/>
      <c r="H2" s="33"/>
      <c r="I2" s="33"/>
      <c r="J2" s="33">
        <v>0</v>
      </c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59"/>
    </row>
    <row r="3" spans="1:24" x14ac:dyDescent="0.25">
      <c r="A3" s="35" t="s">
        <v>96</v>
      </c>
      <c r="B3" s="120" t="str">
        <f t="shared" si="0"/>
        <v/>
      </c>
      <c r="C3" s="121">
        <v>0</v>
      </c>
      <c r="D3" s="33">
        <v>0</v>
      </c>
      <c r="E3" s="38"/>
      <c r="F3" s="33"/>
      <c r="G3" s="33"/>
      <c r="H3" s="33"/>
      <c r="I3" s="33"/>
      <c r="J3" s="33">
        <v>0</v>
      </c>
      <c r="K3" s="33"/>
      <c r="L3" s="33">
        <v>0</v>
      </c>
      <c r="M3" s="33">
        <v>7</v>
      </c>
      <c r="N3" s="33">
        <v>68</v>
      </c>
      <c r="O3" s="33"/>
      <c r="P3" s="33">
        <v>0</v>
      </c>
      <c r="Q3" s="33"/>
      <c r="R3" s="33"/>
      <c r="S3" s="33"/>
      <c r="T3" s="33">
        <v>10</v>
      </c>
      <c r="U3" s="33"/>
      <c r="V3" s="33"/>
      <c r="W3" s="59"/>
    </row>
    <row r="4" spans="1:24" x14ac:dyDescent="0.25">
      <c r="A4" s="35" t="s">
        <v>5</v>
      </c>
      <c r="B4" s="120" t="str">
        <f t="shared" si="0"/>
        <v/>
      </c>
      <c r="C4" s="121">
        <v>0</v>
      </c>
      <c r="D4" s="33">
        <v>0</v>
      </c>
      <c r="E4" s="38"/>
      <c r="F4" s="33"/>
      <c r="G4" s="33"/>
      <c r="H4" s="33"/>
      <c r="I4" s="33"/>
      <c r="J4" s="33">
        <v>0</v>
      </c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59"/>
    </row>
    <row r="5" spans="1:24" x14ac:dyDescent="0.25">
      <c r="A5" s="35" t="s">
        <v>2</v>
      </c>
      <c r="B5" s="120" t="str">
        <f t="shared" si="0"/>
        <v/>
      </c>
      <c r="C5" s="121">
        <v>-919</v>
      </c>
      <c r="D5" s="33">
        <v>0</v>
      </c>
      <c r="E5" s="38">
        <v>320</v>
      </c>
      <c r="F5" s="33"/>
      <c r="G5" s="33">
        <v>4</v>
      </c>
      <c r="H5" s="33">
        <v>344</v>
      </c>
      <c r="I5" s="33"/>
      <c r="J5" s="33">
        <v>0</v>
      </c>
      <c r="K5" s="33">
        <v>100</v>
      </c>
      <c r="L5" s="33">
        <v>0</v>
      </c>
      <c r="M5" s="33">
        <v>60</v>
      </c>
      <c r="N5" s="33">
        <v>59</v>
      </c>
      <c r="O5" s="33">
        <v>0</v>
      </c>
      <c r="P5" s="33">
        <v>0</v>
      </c>
      <c r="Q5" s="33"/>
      <c r="R5" s="33">
        <v>80</v>
      </c>
      <c r="S5" s="33"/>
      <c r="T5" s="33">
        <v>25</v>
      </c>
      <c r="U5" s="33">
        <v>33</v>
      </c>
      <c r="V5" s="33"/>
      <c r="W5" s="59"/>
    </row>
    <row r="6" spans="1:24" x14ac:dyDescent="0.25">
      <c r="A6" s="35" t="s">
        <v>12</v>
      </c>
      <c r="B6" s="120" t="str">
        <f t="shared" si="0"/>
        <v/>
      </c>
      <c r="C6" s="121">
        <v>0</v>
      </c>
      <c r="D6" s="33">
        <v>0</v>
      </c>
      <c r="E6" s="38"/>
      <c r="F6" s="33"/>
      <c r="G6" s="33"/>
      <c r="H6" s="33"/>
      <c r="I6" s="33"/>
      <c r="J6" s="33">
        <v>0</v>
      </c>
      <c r="K6" s="33"/>
      <c r="L6" s="33">
        <v>0</v>
      </c>
      <c r="M6" s="33">
        <v>0</v>
      </c>
      <c r="N6" s="33"/>
      <c r="O6" s="33"/>
      <c r="P6" s="33">
        <v>0</v>
      </c>
      <c r="Q6" s="33"/>
      <c r="R6" s="33"/>
      <c r="S6" s="33"/>
      <c r="T6" s="33"/>
      <c r="U6" s="33"/>
      <c r="V6" s="33"/>
      <c r="W6" s="59"/>
    </row>
    <row r="7" spans="1:24" x14ac:dyDescent="0.25">
      <c r="A7" s="35" t="s">
        <v>9</v>
      </c>
      <c r="B7" s="120" t="str">
        <f t="shared" si="0"/>
        <v/>
      </c>
      <c r="C7" s="121">
        <v>-5</v>
      </c>
      <c r="D7" s="33">
        <v>0</v>
      </c>
      <c r="E7" s="38"/>
      <c r="F7" s="33"/>
      <c r="G7" s="33"/>
      <c r="H7" s="33"/>
      <c r="I7" s="33"/>
      <c r="J7" s="33">
        <v>0</v>
      </c>
      <c r="K7" s="33">
        <v>70</v>
      </c>
      <c r="L7" s="33">
        <v>0</v>
      </c>
      <c r="M7" s="33">
        <v>50</v>
      </c>
      <c r="N7" s="33">
        <v>0</v>
      </c>
      <c r="O7" s="33"/>
      <c r="P7" s="33"/>
      <c r="Q7" s="33"/>
      <c r="R7" s="33"/>
      <c r="S7" s="33"/>
      <c r="T7" s="33"/>
      <c r="U7" s="33"/>
      <c r="V7" s="33"/>
      <c r="W7" s="59"/>
    </row>
    <row r="8" spans="1:24" x14ac:dyDescent="0.25">
      <c r="A8" s="35" t="s">
        <v>14</v>
      </c>
      <c r="B8" s="120" t="str">
        <f t="shared" si="0"/>
        <v/>
      </c>
      <c r="C8" s="121">
        <v>0</v>
      </c>
      <c r="D8" s="33">
        <v>0</v>
      </c>
      <c r="E8" s="38"/>
      <c r="F8" s="33"/>
      <c r="G8" s="33"/>
      <c r="H8" s="33"/>
      <c r="I8" s="33"/>
      <c r="J8" s="33">
        <v>0</v>
      </c>
      <c r="K8" s="33"/>
      <c r="L8" s="33"/>
      <c r="M8" s="33"/>
      <c r="N8" s="33"/>
      <c r="O8" s="33"/>
      <c r="P8" s="33"/>
      <c r="Q8" s="33"/>
      <c r="R8" s="33"/>
      <c r="S8" s="33"/>
      <c r="T8" s="33"/>
      <c r="U8" s="33">
        <v>12</v>
      </c>
      <c r="V8" s="33"/>
      <c r="W8" s="59"/>
    </row>
    <row r="9" spans="1:24" x14ac:dyDescent="0.25">
      <c r="A9" s="35" t="s">
        <v>17</v>
      </c>
      <c r="B9" s="120" t="str">
        <f t="shared" si="0"/>
        <v/>
      </c>
      <c r="C9" s="121">
        <v>0</v>
      </c>
      <c r="D9" s="33">
        <v>0</v>
      </c>
      <c r="E9" s="38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59"/>
    </row>
    <row r="10" spans="1:24" x14ac:dyDescent="0.25">
      <c r="A10" s="35" t="s">
        <v>15</v>
      </c>
      <c r="B10" s="120" t="str">
        <f t="shared" si="0"/>
        <v/>
      </c>
      <c r="C10" s="121">
        <v>0</v>
      </c>
      <c r="D10" s="33">
        <v>0</v>
      </c>
      <c r="E10" s="38"/>
      <c r="F10" s="33"/>
      <c r="G10" s="33"/>
      <c r="H10" s="33"/>
      <c r="I10" s="33"/>
      <c r="J10" s="33">
        <v>0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59"/>
    </row>
    <row r="11" spans="1:24" x14ac:dyDescent="0.25">
      <c r="A11" s="35" t="s">
        <v>10</v>
      </c>
      <c r="B11" s="120" t="str">
        <f t="shared" si="0"/>
        <v/>
      </c>
      <c r="C11" s="121">
        <v>0</v>
      </c>
      <c r="D11" s="33">
        <v>0</v>
      </c>
      <c r="E11" s="38"/>
      <c r="F11" s="33"/>
      <c r="G11" s="33"/>
      <c r="H11" s="33"/>
      <c r="I11" s="33"/>
      <c r="J11" s="33">
        <v>0</v>
      </c>
      <c r="K11" s="33"/>
      <c r="L11" s="33"/>
      <c r="M11" s="33"/>
      <c r="N11" s="33"/>
      <c r="O11" s="33"/>
      <c r="P11" s="33"/>
      <c r="Q11" s="33"/>
      <c r="R11" s="33"/>
      <c r="S11" s="33"/>
      <c r="T11" s="33">
        <v>5</v>
      </c>
      <c r="U11" s="33"/>
      <c r="V11" s="33"/>
      <c r="W11" s="59"/>
      <c r="X11" s="1"/>
    </row>
    <row r="12" spans="1:24" x14ac:dyDescent="0.25">
      <c r="A12" s="35" t="s">
        <v>98</v>
      </c>
      <c r="B12" s="120" t="str">
        <f t="shared" si="0"/>
        <v/>
      </c>
      <c r="C12" s="121">
        <v>0</v>
      </c>
      <c r="D12" s="33">
        <v>0</v>
      </c>
      <c r="E12" s="38"/>
      <c r="F12" s="33"/>
      <c r="G12" s="33"/>
      <c r="H12" s="33"/>
      <c r="I12" s="33"/>
      <c r="J12" s="33">
        <v>0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59"/>
      <c r="X12" s="1"/>
    </row>
    <row r="13" spans="1:24" x14ac:dyDescent="0.25">
      <c r="A13" s="35" t="s">
        <v>26</v>
      </c>
      <c r="B13" s="120" t="str">
        <f t="shared" si="0"/>
        <v/>
      </c>
      <c r="C13" s="121">
        <v>-13</v>
      </c>
      <c r="D13" s="33">
        <v>0</v>
      </c>
      <c r="E13" s="38"/>
      <c r="F13" s="33"/>
      <c r="G13" s="33"/>
      <c r="H13" s="33">
        <v>21</v>
      </c>
      <c r="I13" s="33"/>
      <c r="J13" s="33">
        <v>0</v>
      </c>
      <c r="K13" s="33">
        <v>51</v>
      </c>
      <c r="L13" s="33">
        <v>0</v>
      </c>
      <c r="M13" s="33">
        <v>5</v>
      </c>
      <c r="N13" s="33">
        <v>11</v>
      </c>
      <c r="O13" s="33">
        <v>25</v>
      </c>
      <c r="P13" s="33"/>
      <c r="Q13" s="33"/>
      <c r="R13" s="33"/>
      <c r="S13" s="33"/>
      <c r="T13" s="33"/>
      <c r="U13" s="33"/>
      <c r="V13" s="33"/>
      <c r="W13" s="59"/>
      <c r="X13" s="1"/>
    </row>
    <row r="14" spans="1:24" x14ac:dyDescent="0.25">
      <c r="A14" s="35" t="s">
        <v>25</v>
      </c>
      <c r="B14" s="120" t="str">
        <f t="shared" si="0"/>
        <v/>
      </c>
      <c r="C14" s="121">
        <v>-204</v>
      </c>
      <c r="D14" s="33">
        <v>-104</v>
      </c>
      <c r="E14" s="38">
        <v>548</v>
      </c>
      <c r="F14" s="33"/>
      <c r="G14" s="33">
        <v>296</v>
      </c>
      <c r="H14" s="33">
        <v>584</v>
      </c>
      <c r="I14" s="33">
        <v>223</v>
      </c>
      <c r="J14" s="33">
        <v>0</v>
      </c>
      <c r="K14" s="33">
        <v>1608</v>
      </c>
      <c r="L14" s="33">
        <v>0</v>
      </c>
      <c r="M14" s="33">
        <v>1104</v>
      </c>
      <c r="N14" s="33">
        <v>1236</v>
      </c>
      <c r="O14" s="33">
        <v>90</v>
      </c>
      <c r="P14" s="33">
        <v>10</v>
      </c>
      <c r="Q14" s="33">
        <v>25</v>
      </c>
      <c r="R14" s="33">
        <v>147</v>
      </c>
      <c r="S14" s="33"/>
      <c r="T14" s="33">
        <v>109</v>
      </c>
      <c r="U14" s="33">
        <v>291</v>
      </c>
      <c r="V14" s="33"/>
      <c r="W14" s="59"/>
    </row>
    <row r="15" spans="1:24" x14ac:dyDescent="0.25">
      <c r="A15" s="35" t="s">
        <v>97</v>
      </c>
      <c r="B15" s="120" t="str">
        <f t="shared" si="0"/>
        <v/>
      </c>
      <c r="C15" s="121">
        <v>0</v>
      </c>
      <c r="D15" s="33">
        <v>0</v>
      </c>
      <c r="E15" s="38"/>
      <c r="F15" s="33"/>
      <c r="G15" s="33"/>
      <c r="H15" s="33"/>
      <c r="I15" s="33"/>
      <c r="J15" s="33">
        <v>0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59"/>
    </row>
    <row r="16" spans="1:24" x14ac:dyDescent="0.25">
      <c r="A16" s="35" t="s">
        <v>13</v>
      </c>
      <c r="B16" s="120" t="str">
        <f t="shared" si="0"/>
        <v/>
      </c>
      <c r="C16" s="121">
        <v>0</v>
      </c>
      <c r="D16" s="33">
        <v>0</v>
      </c>
      <c r="E16" s="38"/>
      <c r="F16" s="33"/>
      <c r="G16" s="33"/>
      <c r="H16" s="33"/>
      <c r="I16" s="33"/>
      <c r="J16" s="33">
        <v>0</v>
      </c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59"/>
    </row>
    <row r="17" spans="1:23" x14ac:dyDescent="0.25">
      <c r="A17" s="35" t="s">
        <v>34</v>
      </c>
      <c r="B17" s="120" t="str">
        <f t="shared" si="0"/>
        <v/>
      </c>
      <c r="C17" s="121">
        <v>0</v>
      </c>
      <c r="D17" s="33">
        <v>0</v>
      </c>
      <c r="E17" s="38"/>
      <c r="F17" s="33"/>
      <c r="G17" s="33"/>
      <c r="H17" s="33"/>
      <c r="I17" s="33"/>
      <c r="J17" s="33">
        <v>0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59"/>
    </row>
    <row r="18" spans="1:23" x14ac:dyDescent="0.25">
      <c r="A18" s="35" t="s">
        <v>86</v>
      </c>
      <c r="B18" s="120" t="str">
        <f t="shared" si="0"/>
        <v/>
      </c>
      <c r="C18" s="121">
        <v>-525</v>
      </c>
      <c r="D18" s="33">
        <v>-493</v>
      </c>
      <c r="E18" s="38">
        <v>1171</v>
      </c>
      <c r="F18" s="33"/>
      <c r="G18" s="33">
        <v>881</v>
      </c>
      <c r="H18" s="33">
        <v>1191</v>
      </c>
      <c r="I18" s="33">
        <v>102</v>
      </c>
      <c r="J18" s="33">
        <v>0</v>
      </c>
      <c r="K18" s="33">
        <v>1276</v>
      </c>
      <c r="L18" s="33">
        <v>0</v>
      </c>
      <c r="M18" s="33">
        <v>791</v>
      </c>
      <c r="N18" s="33">
        <v>720</v>
      </c>
      <c r="O18" s="33">
        <v>298</v>
      </c>
      <c r="P18" s="33">
        <v>30</v>
      </c>
      <c r="Q18" s="33">
        <v>40</v>
      </c>
      <c r="R18" s="33">
        <v>285</v>
      </c>
      <c r="S18" s="33"/>
      <c r="T18" s="33">
        <v>20</v>
      </c>
      <c r="U18" s="33">
        <v>2</v>
      </c>
      <c r="V18" s="33"/>
      <c r="W18" s="59"/>
    </row>
    <row r="19" spans="1:23" ht="13.8" thickBot="1" x14ac:dyDescent="0.3">
      <c r="A19" s="36" t="s">
        <v>6</v>
      </c>
      <c r="B19" s="147" t="str">
        <f t="shared" si="0"/>
        <v/>
      </c>
      <c r="C19" s="148">
        <v>-34</v>
      </c>
      <c r="D19" s="33">
        <v>-14</v>
      </c>
      <c r="E19" s="38">
        <v>51</v>
      </c>
      <c r="F19" s="33"/>
      <c r="G19" s="33"/>
      <c r="H19" s="33">
        <v>11</v>
      </c>
      <c r="I19" s="33"/>
      <c r="J19" s="33">
        <v>0</v>
      </c>
      <c r="K19" s="33">
        <v>11</v>
      </c>
      <c r="L19" s="33">
        <v>0</v>
      </c>
      <c r="M19" s="32">
        <v>30</v>
      </c>
      <c r="N19" s="32">
        <v>30</v>
      </c>
      <c r="O19" s="32">
        <v>0</v>
      </c>
      <c r="P19" s="32">
        <v>0</v>
      </c>
      <c r="Q19" s="32"/>
      <c r="R19" s="32"/>
      <c r="S19" s="32"/>
      <c r="T19" s="32">
        <v>12</v>
      </c>
      <c r="U19" s="32">
        <v>25</v>
      </c>
      <c r="V19" s="32"/>
      <c r="W19" s="60"/>
    </row>
    <row r="20" spans="1:23" ht="13.8" thickBot="1" x14ac:dyDescent="0.3">
      <c r="A20" s="37" t="s">
        <v>91</v>
      </c>
      <c r="B20" s="149" t="str">
        <f t="shared" si="0"/>
        <v/>
      </c>
      <c r="C20" s="143">
        <v>-1700</v>
      </c>
      <c r="D20" s="41">
        <v>-611</v>
      </c>
      <c r="E20" s="40">
        <f t="shared" ref="E20" si="1">SUM(E2:E19)</f>
        <v>2090</v>
      </c>
      <c r="F20" s="41">
        <f>SUM(F2:F19)</f>
        <v>0</v>
      </c>
      <c r="G20" s="41">
        <f>SUM(G2:G19)</f>
        <v>1181</v>
      </c>
      <c r="H20" s="41">
        <f>SUM(H2:H19)</f>
        <v>2151</v>
      </c>
      <c r="I20" s="41">
        <f>SUM(I2:I19)</f>
        <v>325</v>
      </c>
      <c r="J20" s="41">
        <v>0</v>
      </c>
      <c r="K20" s="41">
        <f>SUM(K2:K19)</f>
        <v>3116</v>
      </c>
      <c r="L20" s="41">
        <v>0</v>
      </c>
      <c r="M20" s="41">
        <f t="shared" ref="M20:R20" si="2">SUM(M2:M19)</f>
        <v>2047</v>
      </c>
      <c r="N20" s="41">
        <f t="shared" si="2"/>
        <v>2124</v>
      </c>
      <c r="O20" s="41">
        <f t="shared" si="2"/>
        <v>413</v>
      </c>
      <c r="P20" s="41">
        <f t="shared" si="2"/>
        <v>40</v>
      </c>
      <c r="Q20" s="41">
        <f t="shared" si="2"/>
        <v>65</v>
      </c>
      <c r="R20" s="41">
        <f t="shared" si="2"/>
        <v>512</v>
      </c>
      <c r="S20" s="41">
        <v>0</v>
      </c>
      <c r="T20" s="41">
        <f>SUM(T2:T19)</f>
        <v>181</v>
      </c>
      <c r="U20" s="41">
        <f>SUM(U2:U19)</f>
        <v>363</v>
      </c>
      <c r="V20" s="41">
        <f>SUM(V2:V19)</f>
        <v>0</v>
      </c>
      <c r="W20" s="30">
        <f>SUM(W2:W19)</f>
        <v>0</v>
      </c>
    </row>
    <row r="21" spans="1:23" x14ac:dyDescent="0.25">
      <c r="B21" s="145"/>
      <c r="C21" s="145"/>
    </row>
    <row r="22" spans="1:23" ht="13.8" thickBot="1" x14ac:dyDescent="0.3">
      <c r="B22" s="150"/>
      <c r="C22" s="150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s="45" customFormat="1" ht="13.8" thickBot="1" x14ac:dyDescent="0.3">
      <c r="A23" s="46" t="s">
        <v>120</v>
      </c>
      <c r="B23" s="119" t="s">
        <v>170</v>
      </c>
      <c r="C23" s="44" t="s">
        <v>171</v>
      </c>
      <c r="D23" s="67" t="s">
        <v>168</v>
      </c>
      <c r="E23" s="91">
        <v>45778</v>
      </c>
      <c r="F23" s="97">
        <v>45413</v>
      </c>
      <c r="G23" s="97">
        <v>45047</v>
      </c>
      <c r="H23" s="97">
        <v>44682</v>
      </c>
      <c r="I23" s="97">
        <v>44317</v>
      </c>
      <c r="J23" s="97">
        <v>43952</v>
      </c>
      <c r="K23" s="97">
        <v>43221</v>
      </c>
      <c r="L23" s="97">
        <v>43221</v>
      </c>
      <c r="M23" s="20">
        <v>42856</v>
      </c>
      <c r="N23" s="20">
        <v>42491</v>
      </c>
      <c r="O23" s="20">
        <v>42125</v>
      </c>
      <c r="P23" s="20">
        <v>41760</v>
      </c>
      <c r="Q23" s="20">
        <v>41395</v>
      </c>
      <c r="R23" s="20">
        <v>41030</v>
      </c>
      <c r="S23" s="20">
        <v>40664</v>
      </c>
      <c r="T23" s="20">
        <v>40299</v>
      </c>
      <c r="U23" s="20">
        <v>39934</v>
      </c>
      <c r="V23" s="20">
        <v>39569</v>
      </c>
      <c r="W23" s="21">
        <v>39203</v>
      </c>
    </row>
    <row r="24" spans="1:23" s="45" customFormat="1" x14ac:dyDescent="0.25">
      <c r="A24" s="47" t="s">
        <v>7</v>
      </c>
      <c r="B24" s="133" t="str">
        <f t="shared" ref="B24:B27" si="3">IFERROR(((E24-F24)/F24),"")</f>
        <v/>
      </c>
      <c r="C24" s="134">
        <v>0</v>
      </c>
      <c r="D24" s="50">
        <v>0</v>
      </c>
      <c r="E24" s="49"/>
      <c r="F24" s="50"/>
      <c r="G24" s="50"/>
      <c r="H24" s="50"/>
      <c r="I24" s="50"/>
      <c r="J24" s="50">
        <v>0</v>
      </c>
      <c r="K24" s="50"/>
      <c r="L24" s="50">
        <v>0</v>
      </c>
      <c r="M24" s="50"/>
      <c r="N24" s="50"/>
      <c r="O24" s="50"/>
      <c r="P24" s="50"/>
      <c r="Q24" s="50"/>
      <c r="R24" s="50"/>
      <c r="S24" s="50"/>
      <c r="T24" s="50">
        <v>0</v>
      </c>
      <c r="U24" s="50">
        <f>SUM(X24:Y24)</f>
        <v>0</v>
      </c>
      <c r="V24" s="50">
        <f>B39</f>
        <v>0</v>
      </c>
      <c r="W24" s="61">
        <f>B61</f>
        <v>0</v>
      </c>
    </row>
    <row r="25" spans="1:23" s="45" customFormat="1" x14ac:dyDescent="0.25">
      <c r="A25" s="47" t="s">
        <v>154</v>
      </c>
      <c r="B25" s="133" t="str">
        <f t="shared" si="3"/>
        <v/>
      </c>
      <c r="C25" s="134">
        <v>0</v>
      </c>
      <c r="D25" s="50">
        <v>0</v>
      </c>
      <c r="E25" s="49"/>
      <c r="F25" s="50"/>
      <c r="G25" s="50"/>
      <c r="H25" s="50"/>
      <c r="I25" s="50"/>
      <c r="J25" s="50">
        <v>0</v>
      </c>
      <c r="K25" s="50"/>
      <c r="L25" s="50">
        <v>0</v>
      </c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61"/>
    </row>
    <row r="26" spans="1:23" s="45" customFormat="1" ht="13.8" thickBot="1" x14ac:dyDescent="0.3">
      <c r="A26" s="51" t="s">
        <v>6</v>
      </c>
      <c r="B26" s="151" t="str">
        <f t="shared" si="3"/>
        <v/>
      </c>
      <c r="C26" s="134">
        <v>0</v>
      </c>
      <c r="D26" s="50">
        <v>0</v>
      </c>
      <c r="E26" s="49"/>
      <c r="F26" s="50"/>
      <c r="G26" s="50"/>
      <c r="H26" s="50"/>
      <c r="I26" s="50"/>
      <c r="J26" s="50">
        <v>0</v>
      </c>
      <c r="K26" s="50"/>
      <c r="L26" s="50">
        <v>0</v>
      </c>
      <c r="M26" s="54"/>
      <c r="N26" s="54">
        <v>17</v>
      </c>
      <c r="O26" s="54"/>
      <c r="P26" s="54"/>
      <c r="Q26" s="54"/>
      <c r="R26" s="54"/>
      <c r="S26" s="54"/>
      <c r="T26" s="54">
        <v>0</v>
      </c>
      <c r="U26" s="54">
        <f>SUM(X26:Y26)</f>
        <v>0</v>
      </c>
      <c r="V26" s="54">
        <v>0</v>
      </c>
      <c r="W26" s="62">
        <f>B70</f>
        <v>0</v>
      </c>
    </row>
    <row r="27" spans="1:23" s="45" customFormat="1" ht="13.8" thickBot="1" x14ac:dyDescent="0.3">
      <c r="A27" s="55" t="s">
        <v>91</v>
      </c>
      <c r="B27" s="56" t="str">
        <f t="shared" si="3"/>
        <v/>
      </c>
      <c r="C27" s="146">
        <v>0</v>
      </c>
      <c r="D27" s="72">
        <v>0</v>
      </c>
      <c r="E27" s="57"/>
      <c r="F27" s="72">
        <f>SUM(F24:F26)</f>
        <v>0</v>
      </c>
      <c r="G27" s="72"/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f>SUM(N24:N26)</f>
        <v>17</v>
      </c>
      <c r="O27" s="72">
        <f>SUM(O24:O26)</f>
        <v>0</v>
      </c>
      <c r="P27" s="72">
        <f>SUM(P24:P26)</f>
        <v>0</v>
      </c>
      <c r="Q27" s="72">
        <v>0</v>
      </c>
      <c r="R27" s="72">
        <v>0</v>
      </c>
      <c r="S27" s="72">
        <v>0</v>
      </c>
      <c r="T27" s="72">
        <v>0</v>
      </c>
      <c r="U27" s="72">
        <f>SUM(U24:U26)</f>
        <v>0</v>
      </c>
      <c r="V27" s="58">
        <f>SUM(V24:V26)</f>
        <v>0</v>
      </c>
      <c r="W27" s="63">
        <f>SUM(W24:W26)</f>
        <v>0</v>
      </c>
    </row>
    <row r="28" spans="1:23" s="45" customFormat="1" x14ac:dyDescent="0.25"/>
    <row r="29" spans="1:23" s="45" customFormat="1" x14ac:dyDescent="0.25">
      <c r="A29"/>
      <c r="B29"/>
      <c r="C29"/>
      <c r="D29"/>
      <c r="E29"/>
    </row>
    <row r="30" spans="1:23" s="45" customFormat="1" x14ac:dyDescent="0.25">
      <c r="A30"/>
      <c r="B30"/>
      <c r="C30"/>
      <c r="D30"/>
      <c r="E30"/>
    </row>
  </sheetData>
  <conditionalFormatting sqref="E1">
    <cfRule type="expression" dxfId="19" priority="2">
      <formula>ISBLANK(XFD1)=FALSE</formula>
    </cfRule>
  </conditionalFormatting>
  <conditionalFormatting sqref="E23">
    <cfRule type="expression" dxfId="18" priority="1">
      <formula>ISBLANK(XFD23)=FALSE</formula>
    </cfRule>
  </conditionalFormatting>
  <pageMargins left="0.75" right="0.75" top="1" bottom="1" header="0.5" footer="0.5"/>
  <pageSetup paperSize="9" scale="66" fitToHeight="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38"/>
  <sheetViews>
    <sheetView zoomScaleNormal="100" workbookViewId="0"/>
  </sheetViews>
  <sheetFormatPr defaultColWidth="9.109375" defaultRowHeight="13.2" x14ac:dyDescent="0.25"/>
  <cols>
    <col min="1" max="1" width="24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2" width="11.44140625" customWidth="1"/>
    <col min="13" max="20" width="10.109375" bestFit="1" customWidth="1"/>
  </cols>
  <sheetData>
    <row r="1" spans="1:21" ht="13.8" thickBot="1" x14ac:dyDescent="0.3">
      <c r="A1" s="34" t="s">
        <v>90</v>
      </c>
      <c r="B1" s="119" t="s">
        <v>170</v>
      </c>
      <c r="C1" s="44" t="s">
        <v>171</v>
      </c>
      <c r="D1" s="67" t="s">
        <v>168</v>
      </c>
      <c r="E1" s="91">
        <v>45778</v>
      </c>
      <c r="F1" s="97">
        <v>45413</v>
      </c>
      <c r="G1" s="97">
        <v>45047</v>
      </c>
      <c r="H1" s="97">
        <v>44682</v>
      </c>
      <c r="I1" s="97">
        <v>44317</v>
      </c>
      <c r="J1" s="97">
        <v>43952</v>
      </c>
      <c r="K1" s="97">
        <v>43586</v>
      </c>
      <c r="L1" s="97">
        <v>43221</v>
      </c>
      <c r="M1" s="20">
        <v>42856</v>
      </c>
      <c r="N1" s="20">
        <v>42491</v>
      </c>
      <c r="O1" s="20">
        <v>42125</v>
      </c>
      <c r="P1" s="20">
        <v>41760</v>
      </c>
      <c r="Q1" s="20">
        <v>41395</v>
      </c>
      <c r="R1" s="20">
        <v>41030</v>
      </c>
      <c r="S1" s="20">
        <v>40664</v>
      </c>
      <c r="T1" s="21">
        <v>40299</v>
      </c>
    </row>
    <row r="2" spans="1:21" x14ac:dyDescent="0.25">
      <c r="A2" s="35" t="s">
        <v>119</v>
      </c>
      <c r="B2" s="42">
        <f t="shared" ref="B2:B26" si="0">IFERROR(((E2-F2)/F2),"")</f>
        <v>0.33267021868787267</v>
      </c>
      <c r="C2" s="104">
        <v>-981.79030000000012</v>
      </c>
      <c r="D2" s="33">
        <v>-728</v>
      </c>
      <c r="E2" s="38">
        <v>3351.6655999999998</v>
      </c>
      <c r="F2" s="33">
        <v>2515</v>
      </c>
      <c r="G2" s="33">
        <v>3369</v>
      </c>
      <c r="H2" s="33">
        <v>709</v>
      </c>
      <c r="I2" s="33">
        <v>1401</v>
      </c>
      <c r="J2" s="33">
        <v>1822</v>
      </c>
      <c r="K2" s="33">
        <v>1316</v>
      </c>
      <c r="L2" s="33">
        <v>216</v>
      </c>
      <c r="M2" s="90">
        <v>2548</v>
      </c>
      <c r="N2" s="90">
        <v>2114</v>
      </c>
      <c r="O2" s="90">
        <v>2267</v>
      </c>
      <c r="P2" s="90">
        <v>6240</v>
      </c>
      <c r="Q2" s="90">
        <v>1692</v>
      </c>
      <c r="R2" s="90">
        <v>4017</v>
      </c>
      <c r="S2" s="90">
        <v>1800</v>
      </c>
      <c r="T2" s="85">
        <v>1650</v>
      </c>
    </row>
    <row r="3" spans="1:21" x14ac:dyDescent="0.25">
      <c r="A3" s="35" t="s">
        <v>124</v>
      </c>
      <c r="B3" s="42">
        <f t="shared" si="0"/>
        <v>-0.52988809323223807</v>
      </c>
      <c r="C3" s="104">
        <v>-5163.1615000000002</v>
      </c>
      <c r="D3" s="33">
        <v>-6843</v>
      </c>
      <c r="E3" s="38">
        <v>3348.1370000000002</v>
      </c>
      <c r="F3" s="33">
        <v>7122</v>
      </c>
      <c r="G3" s="33">
        <v>3195</v>
      </c>
      <c r="H3" s="33">
        <v>11675</v>
      </c>
      <c r="I3" s="33">
        <v>2626</v>
      </c>
      <c r="J3" s="33">
        <v>8217</v>
      </c>
      <c r="K3" s="33">
        <v>5281</v>
      </c>
      <c r="L3" s="33">
        <v>3763</v>
      </c>
      <c r="M3" s="90">
        <v>7683</v>
      </c>
      <c r="N3" s="90">
        <v>6783</v>
      </c>
      <c r="O3" s="90">
        <v>4774</v>
      </c>
      <c r="P3" s="90">
        <v>13153</v>
      </c>
      <c r="Q3" s="90">
        <v>3050</v>
      </c>
      <c r="R3" s="90">
        <v>8030</v>
      </c>
      <c r="S3" s="90">
        <v>8287</v>
      </c>
      <c r="T3" s="85">
        <v>8695</v>
      </c>
    </row>
    <row r="4" spans="1:21" x14ac:dyDescent="0.25">
      <c r="A4" s="35" t="s">
        <v>4</v>
      </c>
      <c r="B4" s="42">
        <f t="shared" si="0"/>
        <v>0.76177500000000009</v>
      </c>
      <c r="C4" s="104">
        <v>-274.72309999999999</v>
      </c>
      <c r="D4" s="33">
        <v>-40</v>
      </c>
      <c r="E4" s="38">
        <v>35.235500000000002</v>
      </c>
      <c r="F4" s="33">
        <v>20</v>
      </c>
      <c r="G4" s="33">
        <v>35</v>
      </c>
      <c r="H4" s="33">
        <v>69</v>
      </c>
      <c r="I4" s="33">
        <v>0</v>
      </c>
      <c r="J4" s="33">
        <v>13</v>
      </c>
      <c r="K4" s="33">
        <v>543</v>
      </c>
      <c r="L4" s="33">
        <v>132</v>
      </c>
      <c r="M4" s="33">
        <v>105</v>
      </c>
      <c r="N4" s="33">
        <v>18</v>
      </c>
      <c r="O4" s="33">
        <v>103</v>
      </c>
      <c r="P4" s="33">
        <v>195</v>
      </c>
      <c r="Q4" s="33">
        <v>0</v>
      </c>
      <c r="R4" s="33">
        <v>846</v>
      </c>
      <c r="S4" s="33">
        <v>110</v>
      </c>
      <c r="T4" s="59">
        <v>110</v>
      </c>
    </row>
    <row r="5" spans="1:21" x14ac:dyDescent="0.25">
      <c r="A5" s="35" t="s">
        <v>11</v>
      </c>
      <c r="B5" s="42">
        <f t="shared" si="0"/>
        <v>0.80699231008717309</v>
      </c>
      <c r="C5" s="104">
        <v>-1999.1025</v>
      </c>
      <c r="D5" s="33">
        <v>-3366</v>
      </c>
      <c r="E5" s="38">
        <v>5804.0592999999999</v>
      </c>
      <c r="F5" s="33">
        <v>3212</v>
      </c>
      <c r="G5" s="33">
        <v>2037</v>
      </c>
      <c r="H5" s="33">
        <v>4957</v>
      </c>
      <c r="I5" s="33">
        <v>4320</v>
      </c>
      <c r="J5" s="33">
        <v>6040</v>
      </c>
      <c r="K5" s="33">
        <v>5767</v>
      </c>
      <c r="L5" s="33">
        <v>964</v>
      </c>
      <c r="M5" s="33">
        <v>5478</v>
      </c>
      <c r="N5" s="33">
        <v>4169</v>
      </c>
      <c r="O5" s="33">
        <v>3499</v>
      </c>
      <c r="P5" s="33">
        <v>10404</v>
      </c>
      <c r="Q5" s="33">
        <v>1584</v>
      </c>
      <c r="R5" s="33">
        <v>10860</v>
      </c>
      <c r="S5" s="33">
        <v>5662</v>
      </c>
      <c r="T5" s="59">
        <v>12646</v>
      </c>
    </row>
    <row r="6" spans="1:21" x14ac:dyDescent="0.25">
      <c r="A6" s="35" t="s">
        <v>28</v>
      </c>
      <c r="B6" s="42" t="str">
        <f t="shared" si="0"/>
        <v/>
      </c>
      <c r="C6" s="104">
        <v>0</v>
      </c>
      <c r="D6" s="33">
        <v>0</v>
      </c>
      <c r="E6" s="38"/>
      <c r="F6" s="33"/>
      <c r="G6" s="33"/>
      <c r="H6" s="33"/>
      <c r="I6" s="33"/>
      <c r="J6" s="33"/>
      <c r="K6" s="33"/>
      <c r="L6" s="33">
        <v>0</v>
      </c>
      <c r="M6" s="33">
        <v>0</v>
      </c>
      <c r="N6" s="33">
        <v>0</v>
      </c>
      <c r="O6" s="33">
        <v>0</v>
      </c>
      <c r="P6" s="33">
        <v>172</v>
      </c>
      <c r="Q6" s="33">
        <v>29</v>
      </c>
      <c r="R6" s="33">
        <v>564</v>
      </c>
      <c r="S6" s="33">
        <v>648</v>
      </c>
      <c r="T6" s="59">
        <v>693</v>
      </c>
    </row>
    <row r="7" spans="1:21" x14ac:dyDescent="0.25">
      <c r="A7" s="35" t="s">
        <v>149</v>
      </c>
      <c r="B7" s="42">
        <f t="shared" si="0"/>
        <v>0.64597842862153643</v>
      </c>
      <c r="C7" s="104">
        <v>-1007.9721999999992</v>
      </c>
      <c r="D7" s="33">
        <v>-407</v>
      </c>
      <c r="E7" s="38">
        <v>4692.6845000000003</v>
      </c>
      <c r="F7" s="33">
        <v>2851</v>
      </c>
      <c r="G7" s="33">
        <v>1476</v>
      </c>
      <c r="H7" s="33">
        <v>1305</v>
      </c>
      <c r="I7" s="33">
        <v>1999</v>
      </c>
      <c r="J7" s="33">
        <v>2553</v>
      </c>
      <c r="K7" s="33">
        <v>2893</v>
      </c>
      <c r="L7" s="33">
        <v>1190</v>
      </c>
      <c r="M7" s="33">
        <v>2222</v>
      </c>
      <c r="N7" s="33">
        <v>2116</v>
      </c>
      <c r="O7" s="33">
        <v>1784</v>
      </c>
      <c r="P7" s="33">
        <v>554</v>
      </c>
      <c r="Q7" s="33">
        <v>858</v>
      </c>
      <c r="R7" s="33">
        <v>1082</v>
      </c>
      <c r="S7" s="33">
        <v>1210</v>
      </c>
      <c r="T7" s="59">
        <v>0</v>
      </c>
    </row>
    <row r="8" spans="1:21" x14ac:dyDescent="0.25">
      <c r="A8" s="35" t="s">
        <v>59</v>
      </c>
      <c r="B8" s="42">
        <f t="shared" si="0"/>
        <v>0.20903146689142155</v>
      </c>
      <c r="C8" s="104">
        <v>-24070.780999999995</v>
      </c>
      <c r="D8" s="33">
        <v>-24800</v>
      </c>
      <c r="E8" s="38">
        <v>32993.259700000002</v>
      </c>
      <c r="F8" s="33">
        <v>27289</v>
      </c>
      <c r="G8" s="33">
        <v>25102</v>
      </c>
      <c r="H8" s="33">
        <v>18612</v>
      </c>
      <c r="I8" s="33">
        <v>15682</v>
      </c>
      <c r="J8" s="33">
        <v>17188</v>
      </c>
      <c r="K8" s="33">
        <v>15079</v>
      </c>
      <c r="L8" s="33">
        <v>13133</v>
      </c>
      <c r="M8" s="33">
        <v>19406</v>
      </c>
      <c r="N8" s="33">
        <v>16969</v>
      </c>
      <c r="O8" s="33">
        <v>13389</v>
      </c>
      <c r="P8" s="33">
        <v>14424</v>
      </c>
      <c r="Q8" s="33">
        <v>4566</v>
      </c>
      <c r="R8" s="33">
        <v>7956</v>
      </c>
      <c r="S8" s="33">
        <v>7612</v>
      </c>
      <c r="T8" s="59">
        <v>10692</v>
      </c>
    </row>
    <row r="9" spans="1:21" x14ac:dyDescent="0.25">
      <c r="A9" s="35" t="s">
        <v>2</v>
      </c>
      <c r="B9" s="42">
        <f t="shared" si="0"/>
        <v>-0.94656106194690259</v>
      </c>
      <c r="C9" s="104">
        <v>-89.563599999999994</v>
      </c>
      <c r="D9" s="33">
        <v>-56</v>
      </c>
      <c r="E9" s="38">
        <v>6.0385999999999997</v>
      </c>
      <c r="F9" s="33">
        <v>113</v>
      </c>
      <c r="G9" s="33">
        <v>30</v>
      </c>
      <c r="H9" s="33">
        <v>155</v>
      </c>
      <c r="I9" s="33">
        <v>57</v>
      </c>
      <c r="J9" s="33">
        <v>244</v>
      </c>
      <c r="K9" s="33">
        <v>304</v>
      </c>
      <c r="L9" s="33">
        <v>15</v>
      </c>
      <c r="M9" s="33">
        <v>154</v>
      </c>
      <c r="N9" s="33">
        <v>105</v>
      </c>
      <c r="O9" s="33">
        <v>152</v>
      </c>
      <c r="P9" s="33">
        <v>155</v>
      </c>
      <c r="Q9" s="33">
        <v>150</v>
      </c>
      <c r="R9" s="33">
        <v>237</v>
      </c>
      <c r="S9" s="33">
        <v>62</v>
      </c>
      <c r="T9" s="59">
        <v>78</v>
      </c>
    </row>
    <row r="10" spans="1:21" x14ac:dyDescent="0.25">
      <c r="A10" s="35" t="s">
        <v>12</v>
      </c>
      <c r="B10" s="42">
        <f t="shared" si="0"/>
        <v>-0.30175927263347951</v>
      </c>
      <c r="C10" s="104">
        <v>-2294.4770000000003</v>
      </c>
      <c r="D10" s="33">
        <v>-3143</v>
      </c>
      <c r="E10" s="38">
        <v>2707.0792999999999</v>
      </c>
      <c r="F10" s="33">
        <v>3877</v>
      </c>
      <c r="G10" s="33">
        <v>1614</v>
      </c>
      <c r="H10" s="33">
        <v>8990</v>
      </c>
      <c r="I10" s="33">
        <v>2331</v>
      </c>
      <c r="J10" s="33">
        <v>8470</v>
      </c>
      <c r="K10" s="33">
        <v>4961</v>
      </c>
      <c r="L10" s="33">
        <v>4563</v>
      </c>
      <c r="M10" s="33">
        <v>3084</v>
      </c>
      <c r="N10" s="33">
        <v>5401</v>
      </c>
      <c r="O10" s="33">
        <v>2184</v>
      </c>
      <c r="P10" s="33">
        <v>9145</v>
      </c>
      <c r="Q10" s="33">
        <v>2717</v>
      </c>
      <c r="R10" s="33">
        <v>4267</v>
      </c>
      <c r="S10" s="33">
        <v>7465</v>
      </c>
      <c r="T10" s="59">
        <v>4133</v>
      </c>
    </row>
    <row r="11" spans="1:21" x14ac:dyDescent="0.25">
      <c r="A11" s="35" t="s">
        <v>9</v>
      </c>
      <c r="B11" s="42">
        <f t="shared" si="0"/>
        <v>2.3994452005443957E-2</v>
      </c>
      <c r="C11" s="104">
        <v>-9443.2957999999999</v>
      </c>
      <c r="D11" s="33">
        <v>-11835</v>
      </c>
      <c r="E11" s="38">
        <v>12790.7147</v>
      </c>
      <c r="F11" s="33">
        <v>12491</v>
      </c>
      <c r="G11" s="33">
        <v>15507</v>
      </c>
      <c r="H11" s="33">
        <v>25300</v>
      </c>
      <c r="I11" s="33">
        <v>21241</v>
      </c>
      <c r="J11" s="33">
        <v>19975</v>
      </c>
      <c r="K11" s="33">
        <v>20100</v>
      </c>
      <c r="L11" s="33">
        <v>7864</v>
      </c>
      <c r="M11" s="33">
        <v>9715</v>
      </c>
      <c r="N11" s="33">
        <v>5411</v>
      </c>
      <c r="O11" s="33">
        <v>8070</v>
      </c>
      <c r="P11" s="33">
        <v>7085</v>
      </c>
      <c r="Q11" s="33">
        <v>3989</v>
      </c>
      <c r="R11" s="33">
        <v>7704</v>
      </c>
      <c r="S11" s="33">
        <v>7476</v>
      </c>
      <c r="T11" s="59">
        <v>3912</v>
      </c>
    </row>
    <row r="12" spans="1:21" x14ac:dyDescent="0.25">
      <c r="A12" s="35" t="s">
        <v>3</v>
      </c>
      <c r="B12" s="42">
        <f t="shared" si="0"/>
        <v>3.2750841302504941E-3</v>
      </c>
      <c r="C12" s="104">
        <v>-20165.033800000005</v>
      </c>
      <c r="D12" s="33">
        <v>-19011</v>
      </c>
      <c r="E12" s="38">
        <v>82880.554699999993</v>
      </c>
      <c r="F12" s="33">
        <v>82610</v>
      </c>
      <c r="G12" s="33">
        <v>65250</v>
      </c>
      <c r="H12" s="33">
        <v>64764</v>
      </c>
      <c r="I12" s="33">
        <v>55896</v>
      </c>
      <c r="J12" s="33">
        <v>105181</v>
      </c>
      <c r="K12" s="33">
        <v>88562</v>
      </c>
      <c r="L12" s="33">
        <v>83434</v>
      </c>
      <c r="M12" s="33">
        <v>108567</v>
      </c>
      <c r="N12" s="33">
        <v>101961</v>
      </c>
      <c r="O12" s="33">
        <v>97868</v>
      </c>
      <c r="P12" s="33">
        <v>115686</v>
      </c>
      <c r="Q12" s="33">
        <v>40242</v>
      </c>
      <c r="R12" s="33">
        <v>94089</v>
      </c>
      <c r="S12" s="33">
        <v>97979</v>
      </c>
      <c r="T12" s="59">
        <v>108187</v>
      </c>
    </row>
    <row r="13" spans="1:21" x14ac:dyDescent="0.25">
      <c r="A13" s="35" t="s">
        <v>135</v>
      </c>
      <c r="B13" s="42">
        <f t="shared" si="0"/>
        <v>0.69914891500904164</v>
      </c>
      <c r="C13" s="104">
        <v>-335.53030000000012</v>
      </c>
      <c r="D13" s="33">
        <v>-704</v>
      </c>
      <c r="E13" s="38">
        <v>1879.2587000000001</v>
      </c>
      <c r="F13" s="33">
        <v>1106</v>
      </c>
      <c r="G13" s="33">
        <v>722</v>
      </c>
      <c r="H13" s="33">
        <v>1044</v>
      </c>
      <c r="I13" s="33">
        <v>982</v>
      </c>
      <c r="J13" s="33">
        <v>1565</v>
      </c>
      <c r="K13" s="33">
        <v>501</v>
      </c>
      <c r="L13" s="33">
        <v>470</v>
      </c>
      <c r="M13" s="33">
        <v>594</v>
      </c>
      <c r="N13" s="33">
        <v>566</v>
      </c>
      <c r="O13" s="33">
        <v>977</v>
      </c>
      <c r="P13" s="33">
        <v>1198</v>
      </c>
      <c r="Q13" s="33">
        <v>832</v>
      </c>
      <c r="R13" s="33">
        <v>927</v>
      </c>
      <c r="S13" s="33">
        <v>1013</v>
      </c>
      <c r="T13" s="59">
        <v>1050</v>
      </c>
    </row>
    <row r="14" spans="1:21" x14ac:dyDescent="0.25">
      <c r="A14" s="35" t="s">
        <v>17</v>
      </c>
      <c r="B14" s="42">
        <f t="shared" si="0"/>
        <v>0.1946586735956447</v>
      </c>
      <c r="C14" s="104">
        <v>-6509.7228999999988</v>
      </c>
      <c r="D14" s="33">
        <v>-9107</v>
      </c>
      <c r="E14" s="38">
        <v>14482.847100000001</v>
      </c>
      <c r="F14" s="33">
        <v>12123</v>
      </c>
      <c r="G14" s="33">
        <v>16591</v>
      </c>
      <c r="H14" s="33">
        <v>19815</v>
      </c>
      <c r="I14" s="33">
        <v>22557</v>
      </c>
      <c r="J14" s="33">
        <v>21975</v>
      </c>
      <c r="K14" s="33">
        <v>21799</v>
      </c>
      <c r="L14" s="33">
        <v>20886</v>
      </c>
      <c r="M14" s="33">
        <v>14349</v>
      </c>
      <c r="N14" s="33">
        <v>25001</v>
      </c>
      <c r="O14" s="33">
        <v>17464</v>
      </c>
      <c r="P14" s="33">
        <v>24194</v>
      </c>
      <c r="Q14" s="33">
        <v>10352</v>
      </c>
      <c r="R14" s="33">
        <v>14381</v>
      </c>
      <c r="S14" s="33">
        <v>10114</v>
      </c>
      <c r="T14" s="59">
        <v>14999</v>
      </c>
    </row>
    <row r="15" spans="1:21" x14ac:dyDescent="0.25">
      <c r="A15" s="35" t="s">
        <v>127</v>
      </c>
      <c r="B15" s="42">
        <f t="shared" si="0"/>
        <v>-0.42147851437699679</v>
      </c>
      <c r="C15" s="104">
        <v>-296.32119999999998</v>
      </c>
      <c r="D15" s="33">
        <v>-2424</v>
      </c>
      <c r="E15" s="38">
        <v>724.30889999999999</v>
      </c>
      <c r="F15" s="33">
        <v>1252</v>
      </c>
      <c r="G15" s="33">
        <v>2253</v>
      </c>
      <c r="H15" s="33">
        <v>4364</v>
      </c>
      <c r="I15" s="33">
        <v>89</v>
      </c>
      <c r="J15" s="33">
        <v>2128</v>
      </c>
      <c r="K15" s="33">
        <v>573</v>
      </c>
      <c r="L15" s="33">
        <v>72</v>
      </c>
      <c r="M15" s="33">
        <v>840</v>
      </c>
      <c r="N15" s="33">
        <v>421</v>
      </c>
      <c r="O15" s="33">
        <v>1125</v>
      </c>
      <c r="P15" s="33">
        <v>1031</v>
      </c>
      <c r="Q15" s="33">
        <v>754</v>
      </c>
      <c r="R15" s="33">
        <v>469</v>
      </c>
      <c r="S15" s="33">
        <v>563</v>
      </c>
      <c r="T15" s="59">
        <v>76</v>
      </c>
    </row>
    <row r="16" spans="1:21" x14ac:dyDescent="0.25">
      <c r="A16" s="35" t="s">
        <v>10</v>
      </c>
      <c r="B16" s="42" t="str">
        <f t="shared" si="0"/>
        <v/>
      </c>
      <c r="C16" s="104">
        <v>0</v>
      </c>
      <c r="D16" s="33">
        <v>0</v>
      </c>
      <c r="E16" s="38"/>
      <c r="F16" s="33"/>
      <c r="G16" s="33"/>
      <c r="H16" s="33"/>
      <c r="I16" s="33">
        <v>824</v>
      </c>
      <c r="J16" s="33">
        <v>711</v>
      </c>
      <c r="K16" s="33">
        <v>724</v>
      </c>
      <c r="L16" s="33">
        <v>202</v>
      </c>
      <c r="M16" s="33">
        <v>490</v>
      </c>
      <c r="N16" s="33">
        <v>488</v>
      </c>
      <c r="O16" s="33">
        <v>382</v>
      </c>
      <c r="P16" s="33">
        <v>757</v>
      </c>
      <c r="Q16" s="33">
        <v>409</v>
      </c>
      <c r="R16" s="33">
        <v>1173</v>
      </c>
      <c r="S16" s="33">
        <v>927</v>
      </c>
      <c r="T16" s="59">
        <v>1570</v>
      </c>
      <c r="U16" s="1"/>
    </row>
    <row r="17" spans="1:21" x14ac:dyDescent="0.25">
      <c r="A17" s="35" t="s">
        <v>126</v>
      </c>
      <c r="B17" s="42">
        <f t="shared" si="0"/>
        <v>3.0757191270164054E-2</v>
      </c>
      <c r="C17" s="104">
        <v>-2239.5769999999993</v>
      </c>
      <c r="D17" s="33">
        <v>-3668</v>
      </c>
      <c r="E17" s="38">
        <v>7603.8958000000002</v>
      </c>
      <c r="F17" s="33">
        <v>7377</v>
      </c>
      <c r="G17" s="33">
        <v>6974</v>
      </c>
      <c r="H17" s="33">
        <v>11304</v>
      </c>
      <c r="I17" s="33">
        <v>2649</v>
      </c>
      <c r="J17" s="33">
        <v>6434</v>
      </c>
      <c r="K17" s="33">
        <v>2768</v>
      </c>
      <c r="L17" s="33">
        <v>2387</v>
      </c>
      <c r="M17" s="33">
        <v>1921</v>
      </c>
      <c r="N17" s="33">
        <v>1781</v>
      </c>
      <c r="O17" s="33">
        <v>1527</v>
      </c>
      <c r="P17" s="33">
        <v>1533</v>
      </c>
      <c r="Q17" s="33">
        <v>678</v>
      </c>
      <c r="R17" s="33">
        <v>3056</v>
      </c>
      <c r="S17" s="33">
        <v>1424</v>
      </c>
      <c r="T17" s="59">
        <v>4369</v>
      </c>
      <c r="U17" s="1"/>
    </row>
    <row r="18" spans="1:21" x14ac:dyDescent="0.25">
      <c r="A18" s="35" t="s">
        <v>26</v>
      </c>
      <c r="B18" s="42">
        <f t="shared" si="0"/>
        <v>0.53145762630505211</v>
      </c>
      <c r="C18" s="104">
        <v>-1120.2913000000008</v>
      </c>
      <c r="D18" s="33">
        <v>-1962</v>
      </c>
      <c r="E18" s="38">
        <v>12761.636399999999</v>
      </c>
      <c r="F18" s="33">
        <v>8333</v>
      </c>
      <c r="G18" s="33">
        <v>4952</v>
      </c>
      <c r="H18" s="33">
        <v>10385</v>
      </c>
      <c r="I18" s="33">
        <v>6845</v>
      </c>
      <c r="J18" s="33">
        <v>8043</v>
      </c>
      <c r="K18" s="33">
        <v>9060</v>
      </c>
      <c r="L18" s="33">
        <v>6725</v>
      </c>
      <c r="M18" s="33">
        <v>5389</v>
      </c>
      <c r="N18" s="33">
        <v>5314</v>
      </c>
      <c r="O18" s="33">
        <v>2111</v>
      </c>
      <c r="P18" s="33">
        <v>4574</v>
      </c>
      <c r="Q18" s="33">
        <v>1184</v>
      </c>
      <c r="R18" s="33">
        <v>4109</v>
      </c>
      <c r="S18" s="33">
        <v>4308</v>
      </c>
      <c r="T18" s="59">
        <v>6201</v>
      </c>
      <c r="U18" s="1"/>
    </row>
    <row r="19" spans="1:21" x14ac:dyDescent="0.25">
      <c r="A19" s="35" t="s">
        <v>118</v>
      </c>
      <c r="B19" s="42" t="str">
        <f t="shared" si="0"/>
        <v/>
      </c>
      <c r="C19" s="104">
        <v>0</v>
      </c>
      <c r="D19" s="33">
        <v>-19</v>
      </c>
      <c r="E19" s="38"/>
      <c r="F19" s="33"/>
      <c r="G19" s="33">
        <v>13</v>
      </c>
      <c r="H19" s="33">
        <v>0</v>
      </c>
      <c r="I19" s="33">
        <v>104</v>
      </c>
      <c r="J19" s="33"/>
      <c r="K19" s="33"/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3</v>
      </c>
      <c r="R19" s="33">
        <v>12</v>
      </c>
      <c r="S19" s="33">
        <v>36</v>
      </c>
      <c r="T19" s="59">
        <v>3521</v>
      </c>
    </row>
    <row r="20" spans="1:21" x14ac:dyDescent="0.25">
      <c r="A20" s="35" t="s">
        <v>87</v>
      </c>
      <c r="B20" s="42">
        <f t="shared" si="0"/>
        <v>1.7082297962648556</v>
      </c>
      <c r="C20" s="104">
        <v>-2652.8723999999997</v>
      </c>
      <c r="D20" s="33">
        <v>-1696</v>
      </c>
      <c r="E20" s="38">
        <v>3190.2946999999999</v>
      </c>
      <c r="F20" s="33">
        <v>1178</v>
      </c>
      <c r="G20" s="33">
        <v>627</v>
      </c>
      <c r="H20" s="33">
        <v>4806</v>
      </c>
      <c r="I20" s="33">
        <v>953</v>
      </c>
      <c r="J20" s="33">
        <v>2049</v>
      </c>
      <c r="K20" s="33">
        <v>2249</v>
      </c>
      <c r="L20" s="33">
        <v>785</v>
      </c>
      <c r="M20" s="33">
        <v>1681</v>
      </c>
      <c r="N20" s="33">
        <v>2227</v>
      </c>
      <c r="O20" s="33">
        <v>1133</v>
      </c>
      <c r="P20" s="33">
        <v>6895</v>
      </c>
      <c r="Q20" s="33">
        <v>661</v>
      </c>
      <c r="R20" s="33">
        <v>4778</v>
      </c>
      <c r="S20" s="33">
        <v>3287</v>
      </c>
      <c r="T20" s="59">
        <v>3359</v>
      </c>
    </row>
    <row r="21" spans="1:21" x14ac:dyDescent="0.25">
      <c r="A21" s="35" t="s">
        <v>125</v>
      </c>
      <c r="B21" s="42">
        <f t="shared" si="0"/>
        <v>-0.12025623151668773</v>
      </c>
      <c r="C21" s="104">
        <v>-1903.73</v>
      </c>
      <c r="D21" s="33">
        <v>-1439</v>
      </c>
      <c r="E21" s="38">
        <v>2082.3535000000002</v>
      </c>
      <c r="F21" s="33">
        <v>2367</v>
      </c>
      <c r="G21" s="33">
        <v>627</v>
      </c>
      <c r="H21" s="33">
        <v>4806</v>
      </c>
      <c r="I21" s="33">
        <v>953</v>
      </c>
      <c r="J21" s="33">
        <v>2049</v>
      </c>
      <c r="K21" s="33">
        <v>2249</v>
      </c>
      <c r="L21" s="33">
        <v>785</v>
      </c>
      <c r="M21" s="33">
        <v>1681</v>
      </c>
      <c r="N21" s="33">
        <v>2227</v>
      </c>
      <c r="O21" s="33">
        <v>1133</v>
      </c>
      <c r="P21" s="33">
        <v>6895</v>
      </c>
      <c r="Q21" s="33">
        <v>661</v>
      </c>
      <c r="R21" s="33">
        <v>4778</v>
      </c>
      <c r="S21" s="33">
        <v>3287</v>
      </c>
      <c r="T21" s="59">
        <v>3359</v>
      </c>
    </row>
    <row r="22" spans="1:21" x14ac:dyDescent="0.25">
      <c r="A22" s="35" t="s">
        <v>114</v>
      </c>
      <c r="B22" s="42" t="str">
        <f t="shared" si="0"/>
        <v/>
      </c>
      <c r="C22" s="104">
        <v>0</v>
      </c>
      <c r="D22" s="33">
        <v>0</v>
      </c>
      <c r="E22" s="38"/>
      <c r="F22" s="33"/>
      <c r="G22" s="33"/>
      <c r="H22" s="33"/>
      <c r="I22" s="33">
        <v>122</v>
      </c>
      <c r="J22" s="33">
        <v>540</v>
      </c>
      <c r="K22" s="33">
        <v>249</v>
      </c>
      <c r="L22" s="33">
        <v>94</v>
      </c>
      <c r="M22" s="33">
        <v>37</v>
      </c>
      <c r="N22" s="33">
        <v>207</v>
      </c>
      <c r="O22" s="33">
        <v>31</v>
      </c>
      <c r="P22" s="33">
        <v>332</v>
      </c>
      <c r="Q22" s="33">
        <v>24</v>
      </c>
      <c r="R22" s="33">
        <v>628</v>
      </c>
      <c r="S22" s="33">
        <v>29</v>
      </c>
      <c r="T22" s="59">
        <v>385</v>
      </c>
    </row>
    <row r="23" spans="1:21" x14ac:dyDescent="0.25">
      <c r="A23" s="35" t="s">
        <v>128</v>
      </c>
      <c r="B23" s="42" t="str">
        <f t="shared" si="0"/>
        <v/>
      </c>
      <c r="C23" s="104">
        <v>0</v>
      </c>
      <c r="D23" s="33">
        <v>0</v>
      </c>
      <c r="E23" s="38"/>
      <c r="F23" s="33"/>
      <c r="G23" s="33"/>
      <c r="H23" s="33"/>
      <c r="I23" s="33">
        <v>5938</v>
      </c>
      <c r="J23" s="33">
        <v>6335</v>
      </c>
      <c r="K23" s="33">
        <v>5922</v>
      </c>
      <c r="L23" s="33">
        <v>3875</v>
      </c>
      <c r="M23" s="33">
        <v>5493</v>
      </c>
      <c r="N23" s="33">
        <v>2616</v>
      </c>
      <c r="O23" s="33">
        <v>4442</v>
      </c>
      <c r="P23" s="33">
        <v>3763</v>
      </c>
      <c r="Q23" s="33">
        <v>1781</v>
      </c>
      <c r="R23" s="33">
        <v>3591</v>
      </c>
      <c r="S23" s="33">
        <v>1077</v>
      </c>
      <c r="T23" s="59">
        <v>1035</v>
      </c>
    </row>
    <row r="24" spans="1:21" x14ac:dyDescent="0.25">
      <c r="A24" s="35" t="s">
        <v>123</v>
      </c>
      <c r="B24" s="42">
        <f t="shared" si="0"/>
        <v>0.56111111111111112</v>
      </c>
      <c r="C24" s="104">
        <v>-77.688800000000015</v>
      </c>
      <c r="D24" s="33">
        <v>-160</v>
      </c>
      <c r="E24" s="38">
        <v>281</v>
      </c>
      <c r="F24" s="33">
        <v>180</v>
      </c>
      <c r="G24" s="33">
        <v>805</v>
      </c>
      <c r="H24" s="33">
        <v>1023</v>
      </c>
      <c r="I24" s="33">
        <v>86</v>
      </c>
      <c r="J24" s="33">
        <v>658</v>
      </c>
      <c r="K24" s="33">
        <v>854</v>
      </c>
      <c r="L24" s="33">
        <v>262</v>
      </c>
      <c r="M24" s="33">
        <v>1276</v>
      </c>
      <c r="N24" s="33">
        <v>535</v>
      </c>
      <c r="O24" s="33">
        <v>494</v>
      </c>
      <c r="P24" s="33">
        <v>1118</v>
      </c>
      <c r="Q24" s="33">
        <v>0</v>
      </c>
      <c r="R24" s="33">
        <v>910</v>
      </c>
      <c r="S24" s="33">
        <v>408</v>
      </c>
      <c r="T24" s="59">
        <v>974</v>
      </c>
    </row>
    <row r="25" spans="1:21" ht="13.8" thickBot="1" x14ac:dyDescent="0.3">
      <c r="A25" s="36" t="s">
        <v>6</v>
      </c>
      <c r="B25" s="43">
        <f t="shared" si="0"/>
        <v>0.49687970415778271</v>
      </c>
      <c r="C25" s="105">
        <v>-7929.4553000000014</v>
      </c>
      <c r="D25" s="32">
        <v>-11515</v>
      </c>
      <c r="E25" s="39">
        <v>33697.755900000004</v>
      </c>
      <c r="F25" s="32">
        <v>22512</v>
      </c>
      <c r="G25" s="32">
        <v>24396</v>
      </c>
      <c r="H25" s="32">
        <f>3638+3420</f>
        <v>7058</v>
      </c>
      <c r="I25" s="32">
        <v>5605</v>
      </c>
      <c r="J25" s="32">
        <v>2819</v>
      </c>
      <c r="K25" s="32">
        <v>3552</v>
      </c>
      <c r="L25" s="32">
        <v>675</v>
      </c>
      <c r="M25" s="32">
        <v>824</v>
      </c>
      <c r="N25" s="32">
        <v>630</v>
      </c>
      <c r="O25" s="32">
        <v>891</v>
      </c>
      <c r="P25" s="32">
        <v>2872</v>
      </c>
      <c r="Q25" s="32">
        <v>2870</v>
      </c>
      <c r="R25" s="32">
        <v>1698</v>
      </c>
      <c r="S25" s="32">
        <v>3061</v>
      </c>
      <c r="T25" s="60">
        <v>5121</v>
      </c>
    </row>
    <row r="26" spans="1:21" ht="13.8" thickBot="1" x14ac:dyDescent="0.3">
      <c r="A26" s="34" t="s">
        <v>91</v>
      </c>
      <c r="B26" s="66">
        <f t="shared" si="0"/>
        <v>0.13491688779416516</v>
      </c>
      <c r="C26" s="125">
        <v>-88555.090000000026</v>
      </c>
      <c r="D26" s="76">
        <v>-102923</v>
      </c>
      <c r="E26" s="95">
        <f t="shared" ref="E26" si="1">SUM(E2:E25)</f>
        <v>225312.77990000002</v>
      </c>
      <c r="F26" s="76">
        <f>SUM(F2:F25)</f>
        <v>198528</v>
      </c>
      <c r="G26" s="76">
        <f t="shared" ref="G26:N26" si="2">SUM(G2:G25)</f>
        <v>175575</v>
      </c>
      <c r="H26" s="76">
        <f t="shared" si="2"/>
        <v>201141</v>
      </c>
      <c r="I26" s="76">
        <f t="shared" si="2"/>
        <v>153260</v>
      </c>
      <c r="J26" s="76">
        <f t="shared" si="2"/>
        <v>225009</v>
      </c>
      <c r="K26" s="76">
        <f t="shared" si="2"/>
        <v>195306</v>
      </c>
      <c r="L26" s="76">
        <f t="shared" si="2"/>
        <v>152492</v>
      </c>
      <c r="M26" s="41">
        <f t="shared" si="2"/>
        <v>193537</v>
      </c>
      <c r="N26" s="41">
        <f t="shared" si="2"/>
        <v>187060</v>
      </c>
      <c r="O26" s="41">
        <f t="shared" ref="O26:T26" si="3">SUM(O2:O25)</f>
        <v>165800</v>
      </c>
      <c r="P26" s="41">
        <f t="shared" si="3"/>
        <v>232375</v>
      </c>
      <c r="Q26" s="41">
        <f t="shared" si="3"/>
        <v>79086</v>
      </c>
      <c r="R26" s="41">
        <f t="shared" si="3"/>
        <v>180162</v>
      </c>
      <c r="S26" s="41">
        <f t="shared" si="3"/>
        <v>167845</v>
      </c>
      <c r="T26" s="79">
        <f t="shared" si="3"/>
        <v>196815</v>
      </c>
    </row>
    <row r="28" spans="1:21" s="45" customFormat="1" ht="13.8" thickBot="1" x14ac:dyDescent="0.3">
      <c r="A28" s="65"/>
    </row>
    <row r="29" spans="1:21" s="45" customFormat="1" ht="13.8" thickBot="1" x14ac:dyDescent="0.3">
      <c r="A29" s="34" t="s">
        <v>23</v>
      </c>
      <c r="B29" s="119" t="s">
        <v>170</v>
      </c>
      <c r="C29" s="44" t="s">
        <v>171</v>
      </c>
      <c r="D29" s="67" t="s">
        <v>168</v>
      </c>
      <c r="E29" s="91">
        <v>45778</v>
      </c>
      <c r="F29" s="97">
        <v>45413</v>
      </c>
      <c r="G29" s="97">
        <v>45047</v>
      </c>
      <c r="H29" s="97">
        <v>44682</v>
      </c>
      <c r="I29" s="97">
        <v>44317</v>
      </c>
      <c r="J29" s="97">
        <v>43952</v>
      </c>
      <c r="K29" s="97">
        <v>43586</v>
      </c>
      <c r="L29" s="97">
        <v>43221</v>
      </c>
      <c r="M29" s="20">
        <v>42856</v>
      </c>
      <c r="N29" s="20">
        <v>42491</v>
      </c>
      <c r="O29" s="20">
        <v>42125</v>
      </c>
      <c r="P29" s="20">
        <v>41760</v>
      </c>
      <c r="Q29" s="20">
        <v>41395</v>
      </c>
      <c r="R29" s="20">
        <v>41030</v>
      </c>
      <c r="S29" s="20">
        <v>40664</v>
      </c>
      <c r="T29" s="21">
        <v>40299</v>
      </c>
    </row>
    <row r="30" spans="1:21" x14ac:dyDescent="0.25">
      <c r="A30" s="47" t="s">
        <v>136</v>
      </c>
      <c r="B30" s="42">
        <f t="shared" ref="B30:B38" si="4">IFERROR(((E30-F30)/F30),"")</f>
        <v>-0.21582614555256069</v>
      </c>
      <c r="C30" s="104">
        <v>-826.88810000000012</v>
      </c>
      <c r="D30" s="33">
        <v>-636</v>
      </c>
      <c r="E30" s="38">
        <v>290.92849999999999</v>
      </c>
      <c r="F30" s="33">
        <v>371</v>
      </c>
      <c r="G30" s="33">
        <v>6</v>
      </c>
      <c r="H30" s="33">
        <v>72</v>
      </c>
      <c r="I30" s="33">
        <v>368</v>
      </c>
      <c r="J30" s="33">
        <v>149</v>
      </c>
      <c r="K30" s="33">
        <v>203</v>
      </c>
      <c r="L30" s="33">
        <v>310</v>
      </c>
      <c r="M30" s="90">
        <v>175</v>
      </c>
      <c r="N30">
        <v>93</v>
      </c>
      <c r="O30">
        <v>644</v>
      </c>
      <c r="P30">
        <v>1664</v>
      </c>
      <c r="Q30">
        <v>11</v>
      </c>
      <c r="R30">
        <v>1315</v>
      </c>
      <c r="S30" s="90"/>
      <c r="T30" s="85"/>
    </row>
    <row r="31" spans="1:21" x14ac:dyDescent="0.25">
      <c r="A31" s="47" t="s">
        <v>137</v>
      </c>
      <c r="B31" s="42" t="str">
        <f t="shared" si="4"/>
        <v/>
      </c>
      <c r="C31" s="104">
        <v>0</v>
      </c>
      <c r="D31" s="33">
        <v>0</v>
      </c>
      <c r="E31" s="38"/>
      <c r="F31" s="33"/>
      <c r="G31" s="33"/>
      <c r="H31" s="33"/>
      <c r="I31" s="33"/>
      <c r="J31" s="33"/>
      <c r="K31" s="33"/>
      <c r="L31" s="33">
        <v>0</v>
      </c>
      <c r="M31" s="90"/>
      <c r="N31" s="90">
        <v>0</v>
      </c>
      <c r="O31" s="90"/>
      <c r="P31" s="90"/>
      <c r="Q31" s="90"/>
      <c r="R31" s="90"/>
      <c r="S31" s="90"/>
      <c r="T31" s="85"/>
    </row>
    <row r="32" spans="1:21" x14ac:dyDescent="0.25">
      <c r="A32" s="47" t="s">
        <v>7</v>
      </c>
      <c r="B32" s="42">
        <f t="shared" si="4"/>
        <v>2.0635634615384615</v>
      </c>
      <c r="C32" s="104">
        <v>-130.50360000000001</v>
      </c>
      <c r="D32" s="33">
        <v>-289</v>
      </c>
      <c r="E32" s="38">
        <v>159.30529999999999</v>
      </c>
      <c r="F32" s="33">
        <v>52</v>
      </c>
      <c r="G32" s="33">
        <v>92</v>
      </c>
      <c r="H32" s="33">
        <v>211</v>
      </c>
      <c r="I32" s="33">
        <v>145</v>
      </c>
      <c r="J32" s="33">
        <v>331</v>
      </c>
      <c r="K32" s="33">
        <v>450</v>
      </c>
      <c r="L32" s="33">
        <v>378</v>
      </c>
      <c r="M32" s="33">
        <v>225</v>
      </c>
      <c r="N32" s="33">
        <v>124</v>
      </c>
      <c r="O32" s="33">
        <v>85</v>
      </c>
      <c r="P32" s="33">
        <v>46</v>
      </c>
      <c r="Q32" s="33">
        <v>0</v>
      </c>
      <c r="R32" s="33">
        <v>739</v>
      </c>
      <c r="S32" s="33"/>
      <c r="T32" s="59"/>
    </row>
    <row r="33" spans="1:20" x14ac:dyDescent="0.25">
      <c r="A33" s="47" t="s">
        <v>92</v>
      </c>
      <c r="B33" s="42">
        <f t="shared" si="4"/>
        <v>16.185399999999998</v>
      </c>
      <c r="C33" s="104">
        <v>-18.385300000000008</v>
      </c>
      <c r="D33" s="33">
        <v>-13</v>
      </c>
      <c r="E33" s="38">
        <v>51.556199999999997</v>
      </c>
      <c r="F33" s="33">
        <v>3</v>
      </c>
      <c r="G33" s="33">
        <v>10</v>
      </c>
      <c r="H33" s="33">
        <v>0</v>
      </c>
      <c r="I33" s="33">
        <v>6</v>
      </c>
      <c r="J33" s="33">
        <v>22</v>
      </c>
      <c r="K33" s="33">
        <v>72</v>
      </c>
      <c r="L33" s="33">
        <v>87</v>
      </c>
      <c r="M33" s="90">
        <v>18</v>
      </c>
      <c r="N33" s="90">
        <v>56</v>
      </c>
      <c r="O33" s="90">
        <v>3</v>
      </c>
      <c r="P33" s="90">
        <v>6</v>
      </c>
      <c r="Q33" s="90">
        <v>0</v>
      </c>
      <c r="R33" s="90">
        <v>39</v>
      </c>
      <c r="S33" s="33"/>
      <c r="T33" s="59"/>
    </row>
    <row r="34" spans="1:20" x14ac:dyDescent="0.25">
      <c r="A34" s="47" t="s">
        <v>138</v>
      </c>
      <c r="B34" s="42" t="str">
        <f t="shared" si="4"/>
        <v/>
      </c>
      <c r="C34" s="104">
        <v>0</v>
      </c>
      <c r="D34" s="33">
        <v>0</v>
      </c>
      <c r="E34" s="38"/>
      <c r="F34" s="33"/>
      <c r="G34" s="33"/>
      <c r="H34" s="33"/>
      <c r="I34" s="33"/>
      <c r="J34" s="33"/>
      <c r="K34" s="33"/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/>
      <c r="T34" s="59"/>
    </row>
    <row r="35" spans="1:20" x14ac:dyDescent="0.25">
      <c r="A35" s="47" t="s">
        <v>139</v>
      </c>
      <c r="B35" s="42">
        <f t="shared" si="4"/>
        <v>12.113483333333333</v>
      </c>
      <c r="C35" s="104">
        <v>-25.980800000000002</v>
      </c>
      <c r="D35" s="33">
        <v>-7</v>
      </c>
      <c r="E35" s="38">
        <v>78.680899999999994</v>
      </c>
      <c r="F35" s="33">
        <v>6</v>
      </c>
      <c r="G35" s="33"/>
      <c r="H35" s="33"/>
      <c r="I35" s="33"/>
      <c r="J35" s="33"/>
      <c r="K35" s="33"/>
      <c r="L35" s="33">
        <v>0</v>
      </c>
      <c r="M35" s="33">
        <v>3</v>
      </c>
      <c r="N35" s="33">
        <v>0</v>
      </c>
      <c r="O35" s="33">
        <v>4</v>
      </c>
      <c r="P35" s="33">
        <v>11</v>
      </c>
      <c r="Q35" s="33">
        <v>0</v>
      </c>
      <c r="R35" s="33">
        <v>0</v>
      </c>
      <c r="S35" s="33"/>
      <c r="T35" s="59"/>
    </row>
    <row r="36" spans="1:20" x14ac:dyDescent="0.25">
      <c r="A36" s="47" t="s">
        <v>140</v>
      </c>
      <c r="B36" s="42" t="str">
        <f t="shared" si="4"/>
        <v/>
      </c>
      <c r="C36" s="104">
        <v>0</v>
      </c>
      <c r="D36" s="33">
        <v>0</v>
      </c>
      <c r="E36" s="38"/>
      <c r="F36" s="33"/>
      <c r="G36" s="33"/>
      <c r="H36" s="33"/>
      <c r="I36" s="33"/>
      <c r="J36" s="33"/>
      <c r="K36" s="33"/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/>
      <c r="T36" s="59"/>
    </row>
    <row r="37" spans="1:20" ht="13.8" thickBot="1" x14ac:dyDescent="0.3">
      <c r="A37" s="51" t="s">
        <v>6</v>
      </c>
      <c r="B37" s="43">
        <f t="shared" si="4"/>
        <v>4.4107152542372887</v>
      </c>
      <c r="C37" s="105">
        <v>-624.42689999999993</v>
      </c>
      <c r="D37" s="32">
        <v>-117</v>
      </c>
      <c r="E37" s="39">
        <v>638.46440000000007</v>
      </c>
      <c r="F37" s="32">
        <v>118</v>
      </c>
      <c r="G37" s="32">
        <v>169</v>
      </c>
      <c r="H37" s="32">
        <v>29</v>
      </c>
      <c r="I37" s="32">
        <v>180</v>
      </c>
      <c r="J37" s="32">
        <v>43</v>
      </c>
      <c r="K37" s="32">
        <v>24</v>
      </c>
      <c r="L37" s="32">
        <v>0</v>
      </c>
      <c r="M37" s="32">
        <v>43</v>
      </c>
      <c r="N37" s="33">
        <v>2</v>
      </c>
      <c r="O37" s="33">
        <v>2</v>
      </c>
      <c r="P37" s="33">
        <v>87</v>
      </c>
      <c r="Q37" s="33">
        <v>0</v>
      </c>
      <c r="R37" s="33">
        <v>1</v>
      </c>
      <c r="S37" s="33"/>
      <c r="T37" s="59"/>
    </row>
    <row r="38" spans="1:20" ht="13.8" thickBot="1" x14ac:dyDescent="0.3">
      <c r="A38" s="34" t="s">
        <v>91</v>
      </c>
      <c r="B38" s="66">
        <f t="shared" si="4"/>
        <v>1.2162460000000002</v>
      </c>
      <c r="C38" s="125">
        <v>-1626.1846999999998</v>
      </c>
      <c r="D38" s="76">
        <v>-1062</v>
      </c>
      <c r="E38" s="95">
        <f t="shared" ref="E38" si="5">SUM(E30:E37)</f>
        <v>1218.9353000000001</v>
      </c>
      <c r="F38" s="76">
        <f>SUM(F30:F37)</f>
        <v>550</v>
      </c>
      <c r="G38" s="76">
        <f t="shared" ref="G38:L38" si="6">SUM(G30:G37)</f>
        <v>277</v>
      </c>
      <c r="H38" s="76">
        <f t="shared" si="6"/>
        <v>312</v>
      </c>
      <c r="I38" s="76">
        <f t="shared" si="6"/>
        <v>699</v>
      </c>
      <c r="J38" s="76">
        <f t="shared" si="6"/>
        <v>545</v>
      </c>
      <c r="K38" s="76">
        <f t="shared" si="6"/>
        <v>749</v>
      </c>
      <c r="L38" s="76">
        <f t="shared" si="6"/>
        <v>775</v>
      </c>
      <c r="M38" s="29">
        <f t="shared" ref="M38:R38" si="7">SUM(M30:M37)</f>
        <v>464</v>
      </c>
      <c r="N38" s="41">
        <f t="shared" si="7"/>
        <v>275</v>
      </c>
      <c r="O38" s="41">
        <f t="shared" si="7"/>
        <v>738</v>
      </c>
      <c r="P38" s="41">
        <f t="shared" si="7"/>
        <v>1814</v>
      </c>
      <c r="Q38" s="41">
        <f t="shared" si="7"/>
        <v>11</v>
      </c>
      <c r="R38" s="41">
        <f t="shared" si="7"/>
        <v>2094</v>
      </c>
      <c r="S38" s="41"/>
      <c r="T38" s="79"/>
    </row>
  </sheetData>
  <conditionalFormatting sqref="E1">
    <cfRule type="expression" dxfId="17" priority="2">
      <formula>ISBLANK(XFD1)=FALSE</formula>
    </cfRule>
  </conditionalFormatting>
  <conditionalFormatting sqref="E29">
    <cfRule type="expression" dxfId="16" priority="1">
      <formula>ISBLANK(XFD29)=FALSE</formula>
    </cfRule>
  </conditionalFormatting>
  <pageMargins left="0.75" right="0.75" top="1" bottom="1" header="0.5" footer="0.5"/>
  <pageSetup paperSize="9" scale="66" fitToHeight="3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B941D97F322B428ECE0E94A7E9CB38" ma:contentTypeVersion="19" ma:contentTypeDescription="Create a new document." ma:contentTypeScope="" ma:versionID="d415c4e6c21f07e0949d980b921a5823">
  <xsd:schema xmlns:xsd="http://www.w3.org/2001/XMLSchema" xmlns:xs="http://www.w3.org/2001/XMLSchema" xmlns:p="http://schemas.microsoft.com/office/2006/metadata/properties" xmlns:ns2="5d5a9754-d989-458f-8bd1-64889b46f6fa" xmlns:ns3="0302a5af-5ac8-462a-a23b-b4d1027da431" targetNamespace="http://schemas.microsoft.com/office/2006/metadata/properties" ma:root="true" ma:fieldsID="9e6b2bb95aefe090df84aa629f99880c" ns2:_="" ns3:_="">
    <xsd:import namespace="5d5a9754-d989-458f-8bd1-64889b46f6fa"/>
    <xsd:import namespace="0302a5af-5ac8-462a-a23b-b4d1027da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a9754-d989-458f-8bd1-64889b46f6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0e4ba69-e80c-4913-b477-8a96dcaffc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2a5af-5ac8-462a-a23b-b4d1027da43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6be234-e780-497d-b4dc-e60f5fc21a6b}" ma:internalName="TaxCatchAll" ma:showField="CatchAllData" ma:web="0302a5af-5ac8-462a-a23b-b4d1027da4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5a9754-d989-458f-8bd1-64889b46f6fa">
      <Terms xmlns="http://schemas.microsoft.com/office/infopath/2007/PartnerControls"/>
    </lcf76f155ced4ddcb4097134ff3c332f>
    <TaxCatchAll xmlns="0302a5af-5ac8-462a-a23b-b4d1027da431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179788-DB13-4622-BA93-BE7CFB629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5a9754-d989-458f-8bd1-64889b46f6fa"/>
    <ds:schemaRef ds:uri="0302a5af-5ac8-462a-a23b-b4d1027da4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7A138F-00E3-6B47-942A-940C1EE10E40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BB89488-68A9-46A7-A895-35AD7375FC3E}">
  <ds:schemaRefs>
    <ds:schemaRef ds:uri="0302a5af-5ac8-462a-a23b-b4d1027da431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5d5a9754-d989-458f-8bd1-64889b46f6fa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3B8FAB8-EA0B-7B44-AFC9-DBCCE4A443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Intro</vt:lpstr>
      <vt:lpstr>US</vt:lpstr>
      <vt:lpstr>Europe - country</vt:lpstr>
      <vt:lpstr>Europe - variety</vt:lpstr>
      <vt:lpstr>Austria</vt:lpstr>
      <vt:lpstr>Belgium</vt:lpstr>
      <vt:lpstr>Czech Republic</vt:lpstr>
      <vt:lpstr>Denmark</vt:lpstr>
      <vt:lpstr>France</vt:lpstr>
      <vt:lpstr>Germany</vt:lpstr>
      <vt:lpstr>Italy</vt:lpstr>
      <vt:lpstr>Poland</vt:lpstr>
      <vt:lpstr>Portugal</vt:lpstr>
      <vt:lpstr>Spain</vt:lpstr>
      <vt:lpstr>Switzerland</vt:lpstr>
      <vt:lpstr>Netherlands</vt:lpstr>
      <vt:lpstr>UK</vt:lpstr>
      <vt:lpstr>'Europe - country'!Print_Area</vt:lpstr>
      <vt:lpstr>'Europe - variety'!Print_Area</vt:lpstr>
      <vt:lpstr>US!Print_Area</vt:lpstr>
    </vt:vector>
  </TitlesOfParts>
  <Company>Freshfell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Daphne van Doorn</dc:creator>
  <cp:lastModifiedBy>Gil Kaufman</cp:lastModifiedBy>
  <cp:lastPrinted>2016-06-07T13:55:02Z</cp:lastPrinted>
  <dcterms:created xsi:type="dcterms:W3CDTF">2006-12-13T13:34:27Z</dcterms:created>
  <dcterms:modified xsi:type="dcterms:W3CDTF">2025-06-03T09:28:27Z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424600.000000000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0x01010052B941D97F322B428ECE0E94A7E9CB38</vt:lpwstr>
  </property>
</Properties>
</file>